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Projected\2022 Projection\Filed Documents 11-1-2021\"/>
    </mc:Choice>
  </mc:AlternateContent>
  <bookViews>
    <workbookView xWindow="0" yWindow="0" windowWidth="19200" windowHeight="6165" tabRatio="887"/>
  </bookViews>
  <sheets>
    <sheet name="PSO.Sch.11.Rates" sheetId="17" r:id="rId1"/>
    <sheet name="PSO.WS.F.BPU.ATRR.Projected" sheetId="1" r:id="rId2"/>
    <sheet name="PSO.WS.G.BPU.ATRR.True-up" sheetId="2" r:id="rId3"/>
    <sheet name="P.001" sheetId="3" r:id="rId4"/>
    <sheet name="P.002" sheetId="4" r:id="rId5"/>
    <sheet name="P.003" sheetId="5" r:id="rId6"/>
    <sheet name="P.004" sheetId="6" r:id="rId7"/>
    <sheet name="P.005" sheetId="7" r:id="rId8"/>
    <sheet name="P.006" sheetId="8" r:id="rId9"/>
    <sheet name="P.007" sheetId="9" r:id="rId10"/>
    <sheet name="P.008" sheetId="10" r:id="rId11"/>
    <sheet name="P.009" sheetId="11" r:id="rId12"/>
    <sheet name="P.010" sheetId="22" r:id="rId13"/>
    <sheet name="P.011" sheetId="23" r:id="rId14"/>
    <sheet name="P.012" sheetId="24" r:id="rId15"/>
    <sheet name="P.013" sheetId="25" r:id="rId16"/>
    <sheet name="P.014" sheetId="27" r:id="rId17"/>
    <sheet name="P.015" sheetId="28" r:id="rId18"/>
    <sheet name="P.016" sheetId="29" r:id="rId19"/>
    <sheet name="P.017" sheetId="30" r:id="rId20"/>
    <sheet name="P.018" sheetId="31" r:id="rId21"/>
    <sheet name="P.019" sheetId="37" r:id="rId22"/>
    <sheet name="P.020" sheetId="38" r:id="rId23"/>
    <sheet name="P.021" sheetId="39" r:id="rId24"/>
    <sheet name="P.022" sheetId="40" r:id="rId25"/>
    <sheet name="P.023" sheetId="41" r:id="rId26"/>
    <sheet name="P.024" sheetId="42" r:id="rId27"/>
    <sheet name="P.025" sheetId="43" r:id="rId28"/>
    <sheet name="P.026" sheetId="44" r:id="rId29"/>
    <sheet name="P.027" sheetId="45" r:id="rId30"/>
    <sheet name="P.028" sheetId="46" r:id="rId31"/>
    <sheet name="P.029" sheetId="47" r:id="rId32"/>
    <sheet name="P.030" sheetId="48" r:id="rId33"/>
    <sheet name="P.031" sheetId="49" r:id="rId34"/>
    <sheet name="P.xyz - blank" sheetId="13" r:id="rId35"/>
  </sheets>
  <externalReferences>
    <externalReference r:id="rId36"/>
  </externalReferences>
  <definedNames>
    <definedName name="_NPh1">#REF!</definedName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llocator">#REF!</definedName>
    <definedName name="allocators">#REF!</definedName>
    <definedName name="allocatorsSWP">#REF!</definedName>
    <definedName name="allocatorSWP1">'[1]SWP TCOS 2008 13 Month'!$I$317:$J$328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rrYear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P_h1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AEP_STATE_JURIS">"AEP_ST_JD_TBL"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3">P.001!$A$1:$P$165</definedName>
    <definedName name="_xlnm.Print_Area" localSheetId="4">P.002!$A$1:$P$165</definedName>
    <definedName name="_xlnm.Print_Area" localSheetId="5">P.003!$A$1:$P$165</definedName>
    <definedName name="_xlnm.Print_Area" localSheetId="6">P.004!$A$1:$P$165</definedName>
    <definedName name="_xlnm.Print_Area" localSheetId="7">P.005!$A$1:$P$165</definedName>
    <definedName name="_xlnm.Print_Area" localSheetId="8">P.006!$A$1:$P$165</definedName>
    <definedName name="_xlnm.Print_Area" localSheetId="9">P.007!$A$1:$P$165</definedName>
    <definedName name="_xlnm.Print_Area" localSheetId="10">P.008!$A$1:$P$165</definedName>
    <definedName name="_xlnm.Print_Area" localSheetId="11">P.009!$A$1:$P$165</definedName>
    <definedName name="_xlnm.Print_Area" localSheetId="12">P.010!$A$1:$P$165</definedName>
    <definedName name="_xlnm.Print_Area" localSheetId="13">P.011!$A$1:$P$165</definedName>
    <definedName name="_xlnm.Print_Area" localSheetId="14">P.012!$A$1:$P$165</definedName>
    <definedName name="_xlnm.Print_Area" localSheetId="15">P.013!$A$1:$P$165</definedName>
    <definedName name="_xlnm.Print_Area" localSheetId="16">P.014!$A$1:$P$165</definedName>
    <definedName name="_xlnm.Print_Area" localSheetId="17">P.015!$A$1:$P$165</definedName>
    <definedName name="_xlnm.Print_Area" localSheetId="18">P.016!$A$1:$P$165</definedName>
    <definedName name="_xlnm.Print_Area" localSheetId="19">P.017!$A$1:$P$165</definedName>
    <definedName name="_xlnm.Print_Area" localSheetId="20">P.018!$A$1:$P$165</definedName>
    <definedName name="_xlnm.Print_Area" localSheetId="21">P.019!$A$1:$P$165</definedName>
    <definedName name="_xlnm.Print_Area" localSheetId="22">P.020!$A$1:$P$165</definedName>
    <definedName name="_xlnm.Print_Area" localSheetId="23">P.021!$A$1:$P$165</definedName>
    <definedName name="_xlnm.Print_Area" localSheetId="24">P.022!$A$1:$P$165</definedName>
    <definedName name="_xlnm.Print_Area" localSheetId="34">'P.xyz - blank'!$A$1:$P$165</definedName>
    <definedName name="_xlnm.Print_Area" localSheetId="0">PSO.Sch.11.Rates!$A$1:$V$53</definedName>
    <definedName name="_xlnm.Print_Area" localSheetId="1">PSO.WS.F.BPU.ATRR.Projected!$A$1:$O$93</definedName>
    <definedName name="_xlnm.Print_Area" localSheetId="2">'PSO.WS.G.BPU.ATRR.True-up'!$A$1:$P$96</definedName>
    <definedName name="_xlnm.Print_Titles" localSheetId="5">P.003!#REF!</definedName>
    <definedName name="_xlnm.Print_Titles" localSheetId="6">P.004!#REF!</definedName>
    <definedName name="_xlnm.Print_Titles" localSheetId="7">P.005!#REF!</definedName>
    <definedName name="_xlnm.Print_Titles" localSheetId="8">P.006!#REF!</definedName>
    <definedName name="_xlnm.Print_Titles" localSheetId="9">P.007!#REF!</definedName>
    <definedName name="_xlnm.Print_Titles" localSheetId="10">P.008!#REF!</definedName>
    <definedName name="_xlnm.Print_Titles" localSheetId="11">P.009!#REF!</definedName>
    <definedName name="_xlnm.Print_Titles" localSheetId="12">P.010!#REF!</definedName>
    <definedName name="_xlnm.Print_Titles" localSheetId="13">P.011!#REF!</definedName>
    <definedName name="_xlnm.Print_Titles" localSheetId="14">P.012!#REF!</definedName>
    <definedName name="_xlnm.Print_Titles" localSheetId="15">P.013!#REF!</definedName>
    <definedName name="_xlnm.Print_Titles" localSheetId="16">P.014!#REF!</definedName>
    <definedName name="_xlnm.Print_Titles" localSheetId="17">P.015!#REF!</definedName>
    <definedName name="_xlnm.Print_Titles" localSheetId="18">P.016!#REF!</definedName>
    <definedName name="_xlnm.Print_Titles" localSheetId="19">P.017!#REF!</definedName>
    <definedName name="_xlnm.Print_Titles" localSheetId="20">P.018!#REF!</definedName>
    <definedName name="_xlnm.Print_Titles" localSheetId="21">P.019!#REF!</definedName>
    <definedName name="_xlnm.Print_Titles" localSheetId="22">P.020!#REF!</definedName>
    <definedName name="_xlnm.Print_Titles" localSheetId="23">P.021!#REF!</definedName>
    <definedName name="_xlnm.Print_Titles" localSheetId="24">P.022!#REF!</definedName>
    <definedName name="_xlnm.Print_Titles" localSheetId="34">'P.xyz - blank'!#REF!</definedName>
    <definedName name="_xlnm.Print_Titles" localSheetId="1">PSO.WS.F.BPU.ATRR.Projected!$1:$6</definedName>
    <definedName name="_xlnm.Print_Titles" localSheetId="2">'PSO.WS.G.BPU.ATRR.True-up'!$1:$5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SOallocatorsP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_xlnm.Recorder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WPallocatorsH">#REF!</definedName>
    <definedName name="SWPallocatorsP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calcId="162913"/>
</workbook>
</file>

<file path=xl/calcChain.xml><?xml version="1.0" encoding="utf-8"?>
<calcChain xmlns="http://schemas.openxmlformats.org/spreadsheetml/2006/main">
  <c r="M28" i="22" l="1"/>
  <c r="K28" i="22"/>
  <c r="L28" i="22" s="1"/>
  <c r="M28" i="25" l="1"/>
  <c r="K28" i="25"/>
  <c r="L28" i="25" s="1"/>
  <c r="M26" i="24"/>
  <c r="K26" i="24"/>
  <c r="L26" i="24" s="1"/>
  <c r="M27" i="23"/>
  <c r="K27" i="23"/>
  <c r="L27" i="23" s="1"/>
  <c r="D113" i="9"/>
  <c r="O154" i="25" l="1"/>
  <c r="P154" i="25" s="1"/>
  <c r="O153" i="25"/>
  <c r="P153" i="25" s="1"/>
  <c r="O152" i="25"/>
  <c r="P152" i="25" s="1"/>
  <c r="O151" i="25"/>
  <c r="P151" i="25" s="1"/>
  <c r="O150" i="25"/>
  <c r="P150" i="25" s="1"/>
  <c r="O149" i="25"/>
  <c r="P149" i="25" s="1"/>
  <c r="O148" i="25"/>
  <c r="P148" i="25" s="1"/>
  <c r="O147" i="25"/>
  <c r="P147" i="25" s="1"/>
  <c r="O146" i="25"/>
  <c r="P146" i="25" s="1"/>
  <c r="O145" i="25"/>
  <c r="P145" i="25" s="1"/>
  <c r="O144" i="25"/>
  <c r="P144" i="25" s="1"/>
  <c r="O143" i="25"/>
  <c r="P143" i="25" s="1"/>
  <c r="O142" i="25"/>
  <c r="P142" i="25" s="1"/>
  <c r="O141" i="25"/>
  <c r="P141" i="25" s="1"/>
  <c r="O140" i="25"/>
  <c r="P140" i="25" s="1"/>
  <c r="O139" i="25"/>
  <c r="P139" i="25" s="1"/>
  <c r="O138" i="25"/>
  <c r="P138" i="25" s="1"/>
  <c r="O137" i="25"/>
  <c r="P137" i="25" s="1"/>
  <c r="O136" i="25"/>
  <c r="P136" i="25" s="1"/>
  <c r="O135" i="25"/>
  <c r="P135" i="25" s="1"/>
  <c r="O134" i="25"/>
  <c r="P134" i="25" s="1"/>
  <c r="O133" i="25"/>
  <c r="P133" i="25" s="1"/>
  <c r="O132" i="25"/>
  <c r="P132" i="25" s="1"/>
  <c r="O131" i="25"/>
  <c r="P131" i="25" s="1"/>
  <c r="O130" i="25"/>
  <c r="O129" i="25"/>
  <c r="O128" i="25"/>
  <c r="O127" i="25"/>
  <c r="O126" i="25"/>
  <c r="O125" i="25"/>
  <c r="O124" i="25"/>
  <c r="O123" i="25"/>
  <c r="O122" i="25"/>
  <c r="O121" i="25"/>
  <c r="O120" i="25"/>
  <c r="O119" i="25"/>
  <c r="O118" i="25"/>
  <c r="O117" i="25"/>
  <c r="O116" i="25"/>
  <c r="O115" i="25"/>
  <c r="O114" i="25"/>
  <c r="O113" i="25"/>
  <c r="O112" i="25"/>
  <c r="O111" i="25"/>
  <c r="O110" i="25"/>
  <c r="O109" i="25"/>
  <c r="O108" i="25"/>
  <c r="N109" i="25"/>
  <c r="L109" i="25"/>
  <c r="M109" i="25" s="1"/>
  <c r="N108" i="25"/>
  <c r="L108" i="25"/>
  <c r="M108" i="25" s="1"/>
  <c r="N107" i="24"/>
  <c r="L107" i="24"/>
  <c r="M107" i="24" s="1"/>
  <c r="N106" i="24"/>
  <c r="L106" i="24"/>
  <c r="M106" i="24" s="1"/>
  <c r="N108" i="23"/>
  <c r="L108" i="23"/>
  <c r="M108" i="23" s="1"/>
  <c r="N107" i="23"/>
  <c r="L107" i="23"/>
  <c r="M107" i="23" s="1"/>
  <c r="N109" i="22"/>
  <c r="L109" i="22"/>
  <c r="M109" i="22" s="1"/>
  <c r="N108" i="22"/>
  <c r="L108" i="22"/>
  <c r="M108" i="22" s="1"/>
  <c r="W44" i="17" l="1"/>
  <c r="P48" i="17"/>
  <c r="L48" i="17"/>
  <c r="P47" i="17"/>
  <c r="L47" i="17"/>
  <c r="P46" i="17"/>
  <c r="L46" i="17"/>
  <c r="D94" i="49"/>
  <c r="D93" i="49"/>
  <c r="D94" i="48"/>
  <c r="D93" i="48"/>
  <c r="D94" i="47"/>
  <c r="D93" i="47"/>
  <c r="L18" i="47"/>
  <c r="D91" i="48"/>
  <c r="L18" i="48"/>
  <c r="D91" i="46"/>
  <c r="D89" i="46"/>
  <c r="D89" i="49"/>
  <c r="D89" i="48"/>
  <c r="J154" i="48"/>
  <c r="J153" i="48"/>
  <c r="J152" i="48"/>
  <c r="J151" i="48"/>
  <c r="J150" i="48"/>
  <c r="J149" i="48"/>
  <c r="J148" i="48"/>
  <c r="J147" i="48"/>
  <c r="J146" i="48"/>
  <c r="J145" i="48"/>
  <c r="J144" i="48"/>
  <c r="J143" i="48"/>
  <c r="J142" i="48"/>
  <c r="J141" i="48"/>
  <c r="J140" i="48"/>
  <c r="J139" i="48"/>
  <c r="J138" i="48"/>
  <c r="J137" i="48"/>
  <c r="J136" i="48"/>
  <c r="J135" i="48"/>
  <c r="J134" i="48"/>
  <c r="J133" i="48"/>
  <c r="J132" i="48"/>
  <c r="J131" i="48"/>
  <c r="J154" i="49"/>
  <c r="J153" i="49"/>
  <c r="J152" i="49"/>
  <c r="J151" i="49"/>
  <c r="J150" i="49"/>
  <c r="J149" i="49"/>
  <c r="J148" i="49"/>
  <c r="J147" i="49"/>
  <c r="J146" i="49"/>
  <c r="J145" i="49"/>
  <c r="J144" i="49"/>
  <c r="J143" i="49"/>
  <c r="J142" i="49"/>
  <c r="J141" i="49"/>
  <c r="J140" i="49"/>
  <c r="J139" i="49"/>
  <c r="J138" i="49"/>
  <c r="J137" i="49"/>
  <c r="J136" i="49"/>
  <c r="J135" i="49"/>
  <c r="J134" i="49"/>
  <c r="J133" i="49"/>
  <c r="J132" i="49"/>
  <c r="J131" i="49"/>
  <c r="N18" i="49"/>
  <c r="L18" i="49"/>
  <c r="E17" i="49"/>
  <c r="F17" i="49" s="1"/>
  <c r="P154" i="49"/>
  <c r="O154" i="49"/>
  <c r="M154" i="49"/>
  <c r="P153" i="49"/>
  <c r="O153" i="49"/>
  <c r="M153" i="49"/>
  <c r="P152" i="49"/>
  <c r="O152" i="49"/>
  <c r="M152" i="49"/>
  <c r="P151" i="49"/>
  <c r="O151" i="49"/>
  <c r="M151" i="49"/>
  <c r="P150" i="49"/>
  <c r="O150" i="49"/>
  <c r="M150" i="49"/>
  <c r="P149" i="49"/>
  <c r="O149" i="49"/>
  <c r="M149" i="49"/>
  <c r="P148" i="49"/>
  <c r="O148" i="49"/>
  <c r="M148" i="49"/>
  <c r="P147" i="49"/>
  <c r="O147" i="49"/>
  <c r="M147" i="49"/>
  <c r="P146" i="49"/>
  <c r="O146" i="49"/>
  <c r="M146" i="49"/>
  <c r="P145" i="49"/>
  <c r="O145" i="49"/>
  <c r="M145" i="49"/>
  <c r="P144" i="49"/>
  <c r="O144" i="49"/>
  <c r="M144" i="49"/>
  <c r="P143" i="49"/>
  <c r="O143" i="49"/>
  <c r="M143" i="49"/>
  <c r="P142" i="49"/>
  <c r="O142" i="49"/>
  <c r="M142" i="49"/>
  <c r="P141" i="49"/>
  <c r="O141" i="49"/>
  <c r="M141" i="49"/>
  <c r="P140" i="49"/>
  <c r="O140" i="49"/>
  <c r="M140" i="49"/>
  <c r="P139" i="49"/>
  <c r="O139" i="49"/>
  <c r="M139" i="49"/>
  <c r="P138" i="49"/>
  <c r="O138" i="49"/>
  <c r="M138" i="49"/>
  <c r="P137" i="49"/>
  <c r="O137" i="49"/>
  <c r="M137" i="49"/>
  <c r="P136" i="49"/>
  <c r="O136" i="49"/>
  <c r="M136" i="49"/>
  <c r="P135" i="49"/>
  <c r="O135" i="49"/>
  <c r="M135" i="49"/>
  <c r="P134" i="49"/>
  <c r="O134" i="49"/>
  <c r="M134" i="49"/>
  <c r="P133" i="49"/>
  <c r="O133" i="49"/>
  <c r="M133" i="49"/>
  <c r="P132" i="49"/>
  <c r="O132" i="49"/>
  <c r="M132" i="49"/>
  <c r="P131" i="49"/>
  <c r="O131" i="49"/>
  <c r="M131" i="49"/>
  <c r="O130" i="49"/>
  <c r="M130" i="49"/>
  <c r="O129" i="49"/>
  <c r="M129" i="49"/>
  <c r="O128" i="49"/>
  <c r="M128" i="49"/>
  <c r="O127" i="49"/>
  <c r="M127" i="49"/>
  <c r="O126" i="49"/>
  <c r="M126" i="49"/>
  <c r="O125" i="49"/>
  <c r="M125" i="49"/>
  <c r="O124" i="49"/>
  <c r="M124" i="49"/>
  <c r="O123" i="49"/>
  <c r="M123" i="49"/>
  <c r="O122" i="49"/>
  <c r="M122" i="49"/>
  <c r="O121" i="49"/>
  <c r="M121" i="49"/>
  <c r="O120" i="49"/>
  <c r="M120" i="49"/>
  <c r="O119" i="49"/>
  <c r="M119" i="49"/>
  <c r="O118" i="49"/>
  <c r="M118" i="49"/>
  <c r="O117" i="49"/>
  <c r="M117" i="49"/>
  <c r="O116" i="49"/>
  <c r="M116" i="49"/>
  <c r="O115" i="49"/>
  <c r="M115" i="49"/>
  <c r="O114" i="49"/>
  <c r="M114" i="49"/>
  <c r="O113" i="49"/>
  <c r="M113" i="49"/>
  <c r="O112" i="49"/>
  <c r="M112" i="49"/>
  <c r="O111" i="49"/>
  <c r="M111" i="49"/>
  <c r="O110" i="49"/>
  <c r="M110" i="49"/>
  <c r="O109" i="49"/>
  <c r="M109" i="49"/>
  <c r="O108" i="49"/>
  <c r="M108" i="49"/>
  <c r="O107" i="49"/>
  <c r="M107" i="49"/>
  <c r="O106" i="49"/>
  <c r="M106" i="49"/>
  <c r="O105" i="49"/>
  <c r="M105" i="49"/>
  <c r="O104" i="49"/>
  <c r="M104" i="49"/>
  <c r="O103" i="49"/>
  <c r="M103" i="49"/>
  <c r="O102" i="49"/>
  <c r="M102" i="49"/>
  <c r="O101" i="49"/>
  <c r="M101" i="49"/>
  <c r="O100" i="49"/>
  <c r="M100" i="49"/>
  <c r="C100" i="49"/>
  <c r="C101" i="49" s="1"/>
  <c r="C102" i="49" s="1"/>
  <c r="C103" i="49" s="1"/>
  <c r="C104" i="49" s="1"/>
  <c r="C105" i="49" s="1"/>
  <c r="C106" i="49" s="1"/>
  <c r="C107" i="49" s="1"/>
  <c r="C108" i="49" s="1"/>
  <c r="C109" i="49" s="1"/>
  <c r="C110" i="49" s="1"/>
  <c r="C111" i="49" s="1"/>
  <c r="C112" i="49" s="1"/>
  <c r="C113" i="49" s="1"/>
  <c r="C114" i="49" s="1"/>
  <c r="C115" i="49" s="1"/>
  <c r="C116" i="49" s="1"/>
  <c r="C117" i="49" s="1"/>
  <c r="C118" i="49" s="1"/>
  <c r="C119" i="49" s="1"/>
  <c r="C120" i="49" s="1"/>
  <c r="C121" i="49" s="1"/>
  <c r="C122" i="49" s="1"/>
  <c r="C123" i="49" s="1"/>
  <c r="C124" i="49" s="1"/>
  <c r="C125" i="49" s="1"/>
  <c r="C126" i="49" s="1"/>
  <c r="C127" i="49" s="1"/>
  <c r="C128" i="49" s="1"/>
  <c r="C129" i="49" s="1"/>
  <c r="C130" i="49" s="1"/>
  <c r="C131" i="49" s="1"/>
  <c r="C132" i="49" s="1"/>
  <c r="C133" i="49" s="1"/>
  <c r="C134" i="49" s="1"/>
  <c r="C135" i="49" s="1"/>
  <c r="C136" i="49" s="1"/>
  <c r="C137" i="49" s="1"/>
  <c r="C138" i="49" s="1"/>
  <c r="C139" i="49" s="1"/>
  <c r="C140" i="49" s="1"/>
  <c r="C141" i="49" s="1"/>
  <c r="C142" i="49" s="1"/>
  <c r="C143" i="49" s="1"/>
  <c r="C144" i="49" s="1"/>
  <c r="C145" i="49" s="1"/>
  <c r="C146" i="49" s="1"/>
  <c r="C147" i="49" s="1"/>
  <c r="C148" i="49" s="1"/>
  <c r="C149" i="49" s="1"/>
  <c r="C150" i="49" s="1"/>
  <c r="C151" i="49" s="1"/>
  <c r="C152" i="49" s="1"/>
  <c r="C153" i="49" s="1"/>
  <c r="C154" i="49" s="1"/>
  <c r="C99" i="49"/>
  <c r="D96" i="49"/>
  <c r="L93" i="49"/>
  <c r="J93" i="49"/>
  <c r="N72" i="49"/>
  <c r="L72" i="49"/>
  <c r="N71" i="49"/>
  <c r="L71" i="49"/>
  <c r="N70" i="49"/>
  <c r="L70" i="49"/>
  <c r="N69" i="49"/>
  <c r="L69" i="49"/>
  <c r="N68" i="49"/>
  <c r="L68" i="49"/>
  <c r="N67" i="49"/>
  <c r="L67" i="49"/>
  <c r="N66" i="49"/>
  <c r="L66" i="49"/>
  <c r="N65" i="49"/>
  <c r="L65" i="49"/>
  <c r="N64" i="49"/>
  <c r="L64" i="49"/>
  <c r="N63" i="49"/>
  <c r="L63" i="49"/>
  <c r="N62" i="49"/>
  <c r="L62" i="49"/>
  <c r="N61" i="49"/>
  <c r="L61" i="49"/>
  <c r="N60" i="49"/>
  <c r="L60" i="49"/>
  <c r="N59" i="49"/>
  <c r="L59" i="49"/>
  <c r="N58" i="49"/>
  <c r="L58" i="49"/>
  <c r="N57" i="49"/>
  <c r="L57" i="49"/>
  <c r="N56" i="49"/>
  <c r="L56" i="49"/>
  <c r="N55" i="49"/>
  <c r="L55" i="49"/>
  <c r="N54" i="49"/>
  <c r="L54" i="49"/>
  <c r="N53" i="49"/>
  <c r="L53" i="49"/>
  <c r="N52" i="49"/>
  <c r="L52" i="49"/>
  <c r="N51" i="49"/>
  <c r="L51" i="49"/>
  <c r="N50" i="49"/>
  <c r="L50" i="49"/>
  <c r="N49" i="49"/>
  <c r="L49" i="49"/>
  <c r="N48" i="49"/>
  <c r="L48" i="49"/>
  <c r="N47" i="49"/>
  <c r="L47" i="49"/>
  <c r="N46" i="49"/>
  <c r="L46" i="49"/>
  <c r="N45" i="49"/>
  <c r="L45" i="49"/>
  <c r="N44" i="49"/>
  <c r="L44" i="49"/>
  <c r="N43" i="49"/>
  <c r="L43" i="49"/>
  <c r="N42" i="49"/>
  <c r="L42" i="49"/>
  <c r="N41" i="49"/>
  <c r="L41" i="49"/>
  <c r="N40" i="49"/>
  <c r="L40" i="49"/>
  <c r="N39" i="49"/>
  <c r="L39" i="49"/>
  <c r="N38" i="49"/>
  <c r="L38" i="49"/>
  <c r="N37" i="49"/>
  <c r="L37" i="49"/>
  <c r="N36" i="49"/>
  <c r="L36" i="49"/>
  <c r="N35" i="49"/>
  <c r="L35" i="49"/>
  <c r="N34" i="49"/>
  <c r="L34" i="49"/>
  <c r="N33" i="49"/>
  <c r="L33" i="49"/>
  <c r="N32" i="49"/>
  <c r="L32" i="49"/>
  <c r="N31" i="49"/>
  <c r="L31" i="49"/>
  <c r="N30" i="49"/>
  <c r="L30" i="49"/>
  <c r="N29" i="49"/>
  <c r="L29" i="49"/>
  <c r="N28" i="49"/>
  <c r="L28" i="49"/>
  <c r="N27" i="49"/>
  <c r="L27" i="49"/>
  <c r="N26" i="49"/>
  <c r="L26" i="49"/>
  <c r="N25" i="49"/>
  <c r="L25" i="49"/>
  <c r="N24" i="49"/>
  <c r="L24" i="49"/>
  <c r="N23" i="49"/>
  <c r="L23" i="49"/>
  <c r="N22" i="49"/>
  <c r="L22" i="49"/>
  <c r="N21" i="49"/>
  <c r="L21" i="49"/>
  <c r="N20" i="49"/>
  <c r="L20" i="49"/>
  <c r="N19" i="49"/>
  <c r="L19" i="49"/>
  <c r="C17" i="49"/>
  <c r="C18" i="49" s="1"/>
  <c r="C19" i="49" s="1"/>
  <c r="C20" i="49" s="1"/>
  <c r="C21" i="49" s="1"/>
  <c r="C22" i="49" s="1"/>
  <c r="C23" i="49" s="1"/>
  <c r="C24" i="49" s="1"/>
  <c r="C25" i="49" s="1"/>
  <c r="C26" i="49" s="1"/>
  <c r="C27" i="49" s="1"/>
  <c r="C28" i="49" s="1"/>
  <c r="C29" i="49" s="1"/>
  <c r="C30" i="49" s="1"/>
  <c r="C31" i="49" s="1"/>
  <c r="C32" i="49" s="1"/>
  <c r="C33" i="49" s="1"/>
  <c r="C34" i="49" s="1"/>
  <c r="C35" i="49" s="1"/>
  <c r="C36" i="49" s="1"/>
  <c r="C37" i="49" s="1"/>
  <c r="C38" i="49" s="1"/>
  <c r="C39" i="49" s="1"/>
  <c r="C40" i="49" s="1"/>
  <c r="C41" i="49" s="1"/>
  <c r="C42" i="49" s="1"/>
  <c r="C43" i="49" s="1"/>
  <c r="C44" i="49" s="1"/>
  <c r="K11" i="49"/>
  <c r="I11" i="49"/>
  <c r="P1" i="49"/>
  <c r="P83" i="49" s="1"/>
  <c r="P154" i="48"/>
  <c r="O154" i="48"/>
  <c r="M154" i="48"/>
  <c r="P153" i="48"/>
  <c r="O153" i="48"/>
  <c r="M153" i="48"/>
  <c r="P152" i="48"/>
  <c r="O152" i="48"/>
  <c r="M152" i="48"/>
  <c r="P151" i="48"/>
  <c r="O151" i="48"/>
  <c r="M151" i="48"/>
  <c r="P150" i="48"/>
  <c r="O150" i="48"/>
  <c r="M150" i="48"/>
  <c r="P149" i="48"/>
  <c r="O149" i="48"/>
  <c r="M149" i="48"/>
  <c r="P148" i="48"/>
  <c r="O148" i="48"/>
  <c r="M148" i="48"/>
  <c r="P147" i="48"/>
  <c r="O147" i="48"/>
  <c r="M147" i="48"/>
  <c r="P146" i="48"/>
  <c r="O146" i="48"/>
  <c r="M146" i="48"/>
  <c r="P145" i="48"/>
  <c r="O145" i="48"/>
  <c r="M145" i="48"/>
  <c r="P144" i="48"/>
  <c r="O144" i="48"/>
  <c r="M144" i="48"/>
  <c r="P143" i="48"/>
  <c r="O143" i="48"/>
  <c r="M143" i="48"/>
  <c r="P142" i="48"/>
  <c r="O142" i="48"/>
  <c r="M142" i="48"/>
  <c r="P141" i="48"/>
  <c r="O141" i="48"/>
  <c r="M141" i="48"/>
  <c r="P140" i="48"/>
  <c r="O140" i="48"/>
  <c r="M140" i="48"/>
  <c r="P139" i="48"/>
  <c r="O139" i="48"/>
  <c r="M139" i="48"/>
  <c r="P138" i="48"/>
  <c r="O138" i="48"/>
  <c r="M138" i="48"/>
  <c r="P137" i="48"/>
  <c r="O137" i="48"/>
  <c r="M137" i="48"/>
  <c r="P136" i="48"/>
  <c r="O136" i="48"/>
  <c r="M136" i="48"/>
  <c r="P135" i="48"/>
  <c r="O135" i="48"/>
  <c r="M135" i="48"/>
  <c r="P134" i="48"/>
  <c r="O134" i="48"/>
  <c r="M134" i="48"/>
  <c r="P133" i="48"/>
  <c r="O133" i="48"/>
  <c r="M133" i="48"/>
  <c r="P132" i="48"/>
  <c r="O132" i="48"/>
  <c r="M132" i="48"/>
  <c r="P131" i="48"/>
  <c r="O131" i="48"/>
  <c r="M131" i="48"/>
  <c r="O130" i="48"/>
  <c r="M130" i="48"/>
  <c r="O129" i="48"/>
  <c r="M129" i="48"/>
  <c r="O128" i="48"/>
  <c r="M128" i="48"/>
  <c r="O127" i="48"/>
  <c r="M127" i="48"/>
  <c r="O126" i="48"/>
  <c r="M126" i="48"/>
  <c r="O125" i="48"/>
  <c r="M125" i="48"/>
  <c r="O124" i="48"/>
  <c r="M124" i="48"/>
  <c r="O123" i="48"/>
  <c r="M123" i="48"/>
  <c r="O122" i="48"/>
  <c r="M122" i="48"/>
  <c r="O121" i="48"/>
  <c r="M121" i="48"/>
  <c r="O120" i="48"/>
  <c r="M120" i="48"/>
  <c r="O119" i="48"/>
  <c r="M119" i="48"/>
  <c r="O118" i="48"/>
  <c r="M118" i="48"/>
  <c r="O117" i="48"/>
  <c r="M117" i="48"/>
  <c r="O116" i="48"/>
  <c r="M116" i="48"/>
  <c r="O115" i="48"/>
  <c r="M115" i="48"/>
  <c r="O114" i="48"/>
  <c r="M114" i="48"/>
  <c r="O113" i="48"/>
  <c r="M113" i="48"/>
  <c r="O112" i="48"/>
  <c r="M112" i="48"/>
  <c r="O111" i="48"/>
  <c r="M111" i="48"/>
  <c r="O110" i="48"/>
  <c r="M110" i="48"/>
  <c r="O109" i="48"/>
  <c r="M109" i="48"/>
  <c r="O108" i="48"/>
  <c r="M108" i="48"/>
  <c r="O107" i="48"/>
  <c r="M107" i="48"/>
  <c r="O106" i="48"/>
  <c r="M106" i="48"/>
  <c r="O105" i="48"/>
  <c r="M105" i="48"/>
  <c r="O104" i="48"/>
  <c r="M104" i="48"/>
  <c r="O103" i="48"/>
  <c r="M103" i="48"/>
  <c r="O102" i="48"/>
  <c r="M102" i="48"/>
  <c r="O101" i="48"/>
  <c r="M101" i="48"/>
  <c r="O100" i="48"/>
  <c r="M100" i="48"/>
  <c r="C99" i="48"/>
  <c r="C100" i="48" s="1"/>
  <c r="C101" i="48" s="1"/>
  <c r="C102" i="48" s="1"/>
  <c r="C103" i="48" s="1"/>
  <c r="C104" i="48" s="1"/>
  <c r="C105" i="48" s="1"/>
  <c r="C106" i="48" s="1"/>
  <c r="C107" i="48" s="1"/>
  <c r="C108" i="48" s="1"/>
  <c r="C109" i="48" s="1"/>
  <c r="C110" i="48" s="1"/>
  <c r="C111" i="48" s="1"/>
  <c r="C112" i="48" s="1"/>
  <c r="C113" i="48" s="1"/>
  <c r="C114" i="48" s="1"/>
  <c r="C115" i="48" s="1"/>
  <c r="C116" i="48" s="1"/>
  <c r="C117" i="48" s="1"/>
  <c r="C118" i="48" s="1"/>
  <c r="C119" i="48" s="1"/>
  <c r="C120" i="48" s="1"/>
  <c r="C121" i="48" s="1"/>
  <c r="C122" i="48" s="1"/>
  <c r="C123" i="48" s="1"/>
  <c r="C124" i="48" s="1"/>
  <c r="C125" i="48" s="1"/>
  <c r="C126" i="48" s="1"/>
  <c r="C127" i="48" s="1"/>
  <c r="C128" i="48" s="1"/>
  <c r="C129" i="48" s="1"/>
  <c r="C130" i="48" s="1"/>
  <c r="C131" i="48" s="1"/>
  <c r="C132" i="48" s="1"/>
  <c r="C133" i="48" s="1"/>
  <c r="C134" i="48" s="1"/>
  <c r="C135" i="48" s="1"/>
  <c r="C136" i="48" s="1"/>
  <c r="C137" i="48" s="1"/>
  <c r="C138" i="48" s="1"/>
  <c r="C139" i="48" s="1"/>
  <c r="C140" i="48" s="1"/>
  <c r="C141" i="48" s="1"/>
  <c r="C142" i="48" s="1"/>
  <c r="C143" i="48" s="1"/>
  <c r="C144" i="48" s="1"/>
  <c r="C145" i="48" s="1"/>
  <c r="C146" i="48" s="1"/>
  <c r="C147" i="48" s="1"/>
  <c r="C148" i="48" s="1"/>
  <c r="C149" i="48" s="1"/>
  <c r="C150" i="48" s="1"/>
  <c r="C151" i="48" s="1"/>
  <c r="C152" i="48" s="1"/>
  <c r="C153" i="48" s="1"/>
  <c r="C154" i="48" s="1"/>
  <c r="D96" i="48"/>
  <c r="L93" i="48"/>
  <c r="J93" i="48"/>
  <c r="N72" i="48"/>
  <c r="L72" i="48"/>
  <c r="N71" i="48"/>
  <c r="L71" i="48"/>
  <c r="N70" i="48"/>
  <c r="L70" i="48"/>
  <c r="N69" i="48"/>
  <c r="L69" i="48"/>
  <c r="N68" i="48"/>
  <c r="L68" i="48"/>
  <c r="N67" i="48"/>
  <c r="L67" i="48"/>
  <c r="N66" i="48"/>
  <c r="L66" i="48"/>
  <c r="N65" i="48"/>
  <c r="L65" i="48"/>
  <c r="N64" i="48"/>
  <c r="L64" i="48"/>
  <c r="N63" i="48"/>
  <c r="L63" i="48"/>
  <c r="N62" i="48"/>
  <c r="L62" i="48"/>
  <c r="N61" i="48"/>
  <c r="L61" i="48"/>
  <c r="N60" i="48"/>
  <c r="L60" i="48"/>
  <c r="N59" i="48"/>
  <c r="L59" i="48"/>
  <c r="N58" i="48"/>
  <c r="L58" i="48"/>
  <c r="N57" i="48"/>
  <c r="L57" i="48"/>
  <c r="N56" i="48"/>
  <c r="L56" i="48"/>
  <c r="N55" i="48"/>
  <c r="L55" i="48"/>
  <c r="N54" i="48"/>
  <c r="L54" i="48"/>
  <c r="N53" i="48"/>
  <c r="L53" i="48"/>
  <c r="N52" i="48"/>
  <c r="L52" i="48"/>
  <c r="N51" i="48"/>
  <c r="L51" i="48"/>
  <c r="N50" i="48"/>
  <c r="L50" i="48"/>
  <c r="N49" i="48"/>
  <c r="L49" i="48"/>
  <c r="N48" i="48"/>
  <c r="L48" i="48"/>
  <c r="N47" i="48"/>
  <c r="L47" i="48"/>
  <c r="N46" i="48"/>
  <c r="L46" i="48"/>
  <c r="N45" i="48"/>
  <c r="L45" i="48"/>
  <c r="N44" i="48"/>
  <c r="L44" i="48"/>
  <c r="N43" i="48"/>
  <c r="L43" i="48"/>
  <c r="N42" i="48"/>
  <c r="L42" i="48"/>
  <c r="N41" i="48"/>
  <c r="L41" i="48"/>
  <c r="N40" i="48"/>
  <c r="L40" i="48"/>
  <c r="N39" i="48"/>
  <c r="L39" i="48"/>
  <c r="N38" i="48"/>
  <c r="L38" i="48"/>
  <c r="N37" i="48"/>
  <c r="L37" i="48"/>
  <c r="N36" i="48"/>
  <c r="L36" i="48"/>
  <c r="N35" i="48"/>
  <c r="L35" i="48"/>
  <c r="N34" i="48"/>
  <c r="L34" i="48"/>
  <c r="N33" i="48"/>
  <c r="L33" i="48"/>
  <c r="N32" i="48"/>
  <c r="L32" i="48"/>
  <c r="N31" i="48"/>
  <c r="L31" i="48"/>
  <c r="N30" i="48"/>
  <c r="L30" i="48"/>
  <c r="N29" i="48"/>
  <c r="L29" i="48"/>
  <c r="N28" i="48"/>
  <c r="L28" i="48"/>
  <c r="N27" i="48"/>
  <c r="L27" i="48"/>
  <c r="N26" i="48"/>
  <c r="L26" i="48"/>
  <c r="N25" i="48"/>
  <c r="L25" i="48"/>
  <c r="N24" i="48"/>
  <c r="L24" i="48"/>
  <c r="N23" i="48"/>
  <c r="L23" i="48"/>
  <c r="N22" i="48"/>
  <c r="L22" i="48"/>
  <c r="N21" i="48"/>
  <c r="L21" i="48"/>
  <c r="N20" i="48"/>
  <c r="L20" i="48"/>
  <c r="N19" i="48"/>
  <c r="L19" i="48"/>
  <c r="C17" i="48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C29" i="48" s="1"/>
  <c r="C30" i="48" s="1"/>
  <c r="C31" i="48" s="1"/>
  <c r="C32" i="48" s="1"/>
  <c r="C33" i="48" s="1"/>
  <c r="C34" i="48" s="1"/>
  <c r="C35" i="48" s="1"/>
  <c r="C36" i="48" s="1"/>
  <c r="C37" i="48" s="1"/>
  <c r="C38" i="48" s="1"/>
  <c r="C39" i="48" s="1"/>
  <c r="C40" i="48" s="1"/>
  <c r="C41" i="48" s="1"/>
  <c r="C42" i="48" s="1"/>
  <c r="C43" i="48" s="1"/>
  <c r="C44" i="48" s="1"/>
  <c r="K11" i="48"/>
  <c r="I11" i="48"/>
  <c r="P1" i="48"/>
  <c r="P83" i="48" s="1"/>
  <c r="P154" i="47"/>
  <c r="O154" i="47"/>
  <c r="M154" i="47"/>
  <c r="J154" i="47"/>
  <c r="P153" i="47"/>
  <c r="O153" i="47"/>
  <c r="M153" i="47"/>
  <c r="J153" i="47"/>
  <c r="P152" i="47"/>
  <c r="O152" i="47"/>
  <c r="M152" i="47"/>
  <c r="J152" i="47"/>
  <c r="P151" i="47"/>
  <c r="O151" i="47"/>
  <c r="M151" i="47"/>
  <c r="J151" i="47"/>
  <c r="P150" i="47"/>
  <c r="O150" i="47"/>
  <c r="M150" i="47"/>
  <c r="J150" i="47"/>
  <c r="P149" i="47"/>
  <c r="O149" i="47"/>
  <c r="M149" i="47"/>
  <c r="J149" i="47"/>
  <c r="P148" i="47"/>
  <c r="O148" i="47"/>
  <c r="M148" i="47"/>
  <c r="J148" i="47"/>
  <c r="P147" i="47"/>
  <c r="O147" i="47"/>
  <c r="M147" i="47"/>
  <c r="J147" i="47"/>
  <c r="P146" i="47"/>
  <c r="O146" i="47"/>
  <c r="M146" i="47"/>
  <c r="J146" i="47"/>
  <c r="P145" i="47"/>
  <c r="O145" i="47"/>
  <c r="M145" i="47"/>
  <c r="J145" i="47"/>
  <c r="P144" i="47"/>
  <c r="O144" i="47"/>
  <c r="M144" i="47"/>
  <c r="J144" i="47"/>
  <c r="P143" i="47"/>
  <c r="O143" i="47"/>
  <c r="M143" i="47"/>
  <c r="J143" i="47"/>
  <c r="P142" i="47"/>
  <c r="O142" i="47"/>
  <c r="M142" i="47"/>
  <c r="J142" i="47"/>
  <c r="P141" i="47"/>
  <c r="O141" i="47"/>
  <c r="M141" i="47"/>
  <c r="J141" i="47"/>
  <c r="P140" i="47"/>
  <c r="O140" i="47"/>
  <c r="M140" i="47"/>
  <c r="J140" i="47"/>
  <c r="P139" i="47"/>
  <c r="O139" i="47"/>
  <c r="M139" i="47"/>
  <c r="J139" i="47"/>
  <c r="P138" i="47"/>
  <c r="O138" i="47"/>
  <c r="M138" i="47"/>
  <c r="J138" i="47"/>
  <c r="P137" i="47"/>
  <c r="O137" i="47"/>
  <c r="M137" i="47"/>
  <c r="J137" i="47"/>
  <c r="P136" i="47"/>
  <c r="O136" i="47"/>
  <c r="M136" i="47"/>
  <c r="J136" i="47"/>
  <c r="P135" i="47"/>
  <c r="O135" i="47"/>
  <c r="M135" i="47"/>
  <c r="J135" i="47"/>
  <c r="P134" i="47"/>
  <c r="O134" i="47"/>
  <c r="M134" i="47"/>
  <c r="J134" i="47"/>
  <c r="P133" i="47"/>
  <c r="O133" i="47"/>
  <c r="M133" i="47"/>
  <c r="J133" i="47"/>
  <c r="P132" i="47"/>
  <c r="O132" i="47"/>
  <c r="M132" i="47"/>
  <c r="J132" i="47"/>
  <c r="P131" i="47"/>
  <c r="O131" i="47"/>
  <c r="M131" i="47"/>
  <c r="J131" i="47"/>
  <c r="O130" i="47"/>
  <c r="M130" i="47"/>
  <c r="O129" i="47"/>
  <c r="M129" i="47"/>
  <c r="O128" i="47"/>
  <c r="M128" i="47"/>
  <c r="O127" i="47"/>
  <c r="M127" i="47"/>
  <c r="O126" i="47"/>
  <c r="M126" i="47"/>
  <c r="O125" i="47"/>
  <c r="M125" i="47"/>
  <c r="O124" i="47"/>
  <c r="M124" i="47"/>
  <c r="O123" i="47"/>
  <c r="M123" i="47"/>
  <c r="O122" i="47"/>
  <c r="M122" i="47"/>
  <c r="O121" i="47"/>
  <c r="M121" i="47"/>
  <c r="O120" i="47"/>
  <c r="M120" i="47"/>
  <c r="O119" i="47"/>
  <c r="M119" i="47"/>
  <c r="O118" i="47"/>
  <c r="M118" i="47"/>
  <c r="O117" i="47"/>
  <c r="M117" i="47"/>
  <c r="O116" i="47"/>
  <c r="M116" i="47"/>
  <c r="O115" i="47"/>
  <c r="M115" i="47"/>
  <c r="O114" i="47"/>
  <c r="M114" i="47"/>
  <c r="O113" i="47"/>
  <c r="M113" i="47"/>
  <c r="O112" i="47"/>
  <c r="M112" i="47"/>
  <c r="O111" i="47"/>
  <c r="M111" i="47"/>
  <c r="O110" i="47"/>
  <c r="M110" i="47"/>
  <c r="O109" i="47"/>
  <c r="M109" i="47"/>
  <c r="O108" i="47"/>
  <c r="M108" i="47"/>
  <c r="O107" i="47"/>
  <c r="M107" i="47"/>
  <c r="O106" i="47"/>
  <c r="M106" i="47"/>
  <c r="O105" i="47"/>
  <c r="M105" i="47"/>
  <c r="O104" i="47"/>
  <c r="M104" i="47"/>
  <c r="O103" i="47"/>
  <c r="M103" i="47"/>
  <c r="O102" i="47"/>
  <c r="M102" i="47"/>
  <c r="O101" i="47"/>
  <c r="M101" i="47"/>
  <c r="O100" i="47"/>
  <c r="M100" i="47"/>
  <c r="N99" i="47"/>
  <c r="O99" i="47" s="1"/>
  <c r="P99" i="47" s="1"/>
  <c r="L99" i="47"/>
  <c r="M99" i="47" s="1"/>
  <c r="J99" i="47"/>
  <c r="C99" i="47"/>
  <c r="C100" i="47" s="1"/>
  <c r="C101" i="47" s="1"/>
  <c r="C102" i="47" s="1"/>
  <c r="C103" i="47" s="1"/>
  <c r="C104" i="47" s="1"/>
  <c r="C105" i="47" s="1"/>
  <c r="C106" i="47" s="1"/>
  <c r="C107" i="47" s="1"/>
  <c r="C108" i="47" s="1"/>
  <c r="C109" i="47" s="1"/>
  <c r="C110" i="47" s="1"/>
  <c r="C111" i="47" s="1"/>
  <c r="C112" i="47" s="1"/>
  <c r="C113" i="47" s="1"/>
  <c r="C114" i="47" s="1"/>
  <c r="C115" i="47" s="1"/>
  <c r="C116" i="47" s="1"/>
  <c r="C117" i="47" s="1"/>
  <c r="C118" i="47" s="1"/>
  <c r="C119" i="47" s="1"/>
  <c r="C120" i="47" s="1"/>
  <c r="C121" i="47" s="1"/>
  <c r="C122" i="47" s="1"/>
  <c r="C123" i="47" s="1"/>
  <c r="C124" i="47" s="1"/>
  <c r="C125" i="47" s="1"/>
  <c r="C126" i="47" s="1"/>
  <c r="C127" i="47" s="1"/>
  <c r="C128" i="47" s="1"/>
  <c r="C129" i="47" s="1"/>
  <c r="C130" i="47" s="1"/>
  <c r="C131" i="47" s="1"/>
  <c r="C132" i="47" s="1"/>
  <c r="C133" i="47" s="1"/>
  <c r="C134" i="47" s="1"/>
  <c r="C135" i="47" s="1"/>
  <c r="C136" i="47" s="1"/>
  <c r="C137" i="47" s="1"/>
  <c r="C138" i="47" s="1"/>
  <c r="C139" i="47" s="1"/>
  <c r="C140" i="47" s="1"/>
  <c r="C141" i="47" s="1"/>
  <c r="C142" i="47" s="1"/>
  <c r="C143" i="47" s="1"/>
  <c r="C144" i="47" s="1"/>
  <c r="C145" i="47" s="1"/>
  <c r="C146" i="47" s="1"/>
  <c r="C147" i="47" s="1"/>
  <c r="C148" i="47" s="1"/>
  <c r="C149" i="47" s="1"/>
  <c r="C150" i="47" s="1"/>
  <c r="C151" i="47" s="1"/>
  <c r="C152" i="47" s="1"/>
  <c r="C153" i="47" s="1"/>
  <c r="C154" i="47" s="1"/>
  <c r="D96" i="47"/>
  <c r="L93" i="47"/>
  <c r="J93" i="47"/>
  <c r="D90" i="47"/>
  <c r="N72" i="47"/>
  <c r="L72" i="47"/>
  <c r="N71" i="47"/>
  <c r="L71" i="47"/>
  <c r="N70" i="47"/>
  <c r="L70" i="47"/>
  <c r="N69" i="47"/>
  <c r="L69" i="47"/>
  <c r="N68" i="47"/>
  <c r="L68" i="47"/>
  <c r="N67" i="47"/>
  <c r="L67" i="47"/>
  <c r="N66" i="47"/>
  <c r="L66" i="47"/>
  <c r="N65" i="47"/>
  <c r="L65" i="47"/>
  <c r="N64" i="47"/>
  <c r="L64" i="47"/>
  <c r="N63" i="47"/>
  <c r="L63" i="47"/>
  <c r="N62" i="47"/>
  <c r="L62" i="47"/>
  <c r="N61" i="47"/>
  <c r="L61" i="47"/>
  <c r="N60" i="47"/>
  <c r="L60" i="47"/>
  <c r="N59" i="47"/>
  <c r="L59" i="47"/>
  <c r="N58" i="47"/>
  <c r="L58" i="47"/>
  <c r="N57" i="47"/>
  <c r="L57" i="47"/>
  <c r="N56" i="47"/>
  <c r="L56" i="47"/>
  <c r="N55" i="47"/>
  <c r="L55" i="47"/>
  <c r="N54" i="47"/>
  <c r="L54" i="47"/>
  <c r="N53" i="47"/>
  <c r="L53" i="47"/>
  <c r="N52" i="47"/>
  <c r="L52" i="47"/>
  <c r="N51" i="47"/>
  <c r="L51" i="47"/>
  <c r="N50" i="47"/>
  <c r="L50" i="47"/>
  <c r="N49" i="47"/>
  <c r="L49" i="47"/>
  <c r="N48" i="47"/>
  <c r="L48" i="47"/>
  <c r="N47" i="47"/>
  <c r="L47" i="47"/>
  <c r="N46" i="47"/>
  <c r="L46" i="47"/>
  <c r="N45" i="47"/>
  <c r="L45" i="47"/>
  <c r="N44" i="47"/>
  <c r="L44" i="47"/>
  <c r="N43" i="47"/>
  <c r="L43" i="47"/>
  <c r="N42" i="47"/>
  <c r="L42" i="47"/>
  <c r="N41" i="47"/>
  <c r="L41" i="47"/>
  <c r="N40" i="47"/>
  <c r="L40" i="47"/>
  <c r="N39" i="47"/>
  <c r="L39" i="47"/>
  <c r="N38" i="47"/>
  <c r="L38" i="47"/>
  <c r="N37" i="47"/>
  <c r="L37" i="47"/>
  <c r="N36" i="47"/>
  <c r="L36" i="47"/>
  <c r="N35" i="47"/>
  <c r="L35" i="47"/>
  <c r="N34" i="47"/>
  <c r="L34" i="47"/>
  <c r="N33" i="47"/>
  <c r="L33" i="47"/>
  <c r="N32" i="47"/>
  <c r="L32" i="47"/>
  <c r="N31" i="47"/>
  <c r="L31" i="47"/>
  <c r="N30" i="47"/>
  <c r="L30" i="47"/>
  <c r="N29" i="47"/>
  <c r="L29" i="47"/>
  <c r="N28" i="47"/>
  <c r="L28" i="47"/>
  <c r="N27" i="47"/>
  <c r="L27" i="47"/>
  <c r="N26" i="47"/>
  <c r="L26" i="47"/>
  <c r="N25" i="47"/>
  <c r="L25" i="47"/>
  <c r="N24" i="47"/>
  <c r="L24" i="47"/>
  <c r="N23" i="47"/>
  <c r="L23" i="47"/>
  <c r="N22" i="47"/>
  <c r="L22" i="47"/>
  <c r="N21" i="47"/>
  <c r="L21" i="47"/>
  <c r="N20" i="47"/>
  <c r="L20" i="47"/>
  <c r="N19" i="47"/>
  <c r="L19" i="47"/>
  <c r="C17" i="47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C32" i="47" s="1"/>
  <c r="C33" i="47" s="1"/>
  <c r="C34" i="47" s="1"/>
  <c r="C35" i="47" s="1"/>
  <c r="C36" i="47" s="1"/>
  <c r="C37" i="47" s="1"/>
  <c r="C38" i="47" s="1"/>
  <c r="C39" i="47" s="1"/>
  <c r="C40" i="47" s="1"/>
  <c r="C41" i="47" s="1"/>
  <c r="C42" i="47" s="1"/>
  <c r="C43" i="47" s="1"/>
  <c r="C44" i="47" s="1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60" i="47" s="1"/>
  <c r="C61" i="47" s="1"/>
  <c r="C62" i="47" s="1"/>
  <c r="C63" i="47" s="1"/>
  <c r="C64" i="47" s="1"/>
  <c r="C65" i="47" s="1"/>
  <c r="C66" i="47" s="1"/>
  <c r="C67" i="47" s="1"/>
  <c r="C68" i="47" s="1"/>
  <c r="C69" i="47" s="1"/>
  <c r="C70" i="47" s="1"/>
  <c r="C71" i="47" s="1"/>
  <c r="C72" i="47" s="1"/>
  <c r="K11" i="47"/>
  <c r="I11" i="47"/>
  <c r="P1" i="47"/>
  <c r="P83" i="47" s="1"/>
  <c r="O34" i="49" l="1"/>
  <c r="O36" i="49"/>
  <c r="O38" i="49"/>
  <c r="O42" i="49"/>
  <c r="O44" i="49"/>
  <c r="O46" i="49"/>
  <c r="O52" i="49"/>
  <c r="O60" i="49"/>
  <c r="O62" i="49"/>
  <c r="O64" i="49"/>
  <c r="O68" i="49"/>
  <c r="O70" i="49"/>
  <c r="O72" i="49"/>
  <c r="P109" i="49"/>
  <c r="P113" i="49"/>
  <c r="O23" i="49"/>
  <c r="O25" i="49"/>
  <c r="O27" i="49"/>
  <c r="O31" i="49"/>
  <c r="O39" i="49"/>
  <c r="O49" i="49"/>
  <c r="O59" i="49"/>
  <c r="O67" i="49"/>
  <c r="P130" i="47"/>
  <c r="P113" i="47"/>
  <c r="O23" i="47"/>
  <c r="O31" i="47"/>
  <c r="O33" i="47"/>
  <c r="O43" i="47"/>
  <c r="O45" i="47"/>
  <c r="O49" i="47"/>
  <c r="P120" i="47"/>
  <c r="P122" i="47"/>
  <c r="O38" i="48"/>
  <c r="O68" i="48"/>
  <c r="O20" i="49"/>
  <c r="O24" i="49"/>
  <c r="O18" i="49"/>
  <c r="O30" i="47"/>
  <c r="O38" i="47"/>
  <c r="O60" i="47"/>
  <c r="O47" i="49"/>
  <c r="P100" i="47"/>
  <c r="P102" i="47"/>
  <c r="P104" i="47"/>
  <c r="P106" i="47"/>
  <c r="P108" i="47"/>
  <c r="P110" i="47"/>
  <c r="P112" i="47"/>
  <c r="P115" i="47"/>
  <c r="P117" i="47"/>
  <c r="P101" i="47"/>
  <c r="P103" i="47"/>
  <c r="P105" i="47"/>
  <c r="P109" i="47"/>
  <c r="P111" i="47"/>
  <c r="O51" i="47"/>
  <c r="O55" i="47"/>
  <c r="O67" i="47"/>
  <c r="O71" i="47"/>
  <c r="O72" i="47"/>
  <c r="P107" i="47"/>
  <c r="P114" i="47"/>
  <c r="P116" i="47"/>
  <c r="O22" i="47"/>
  <c r="P118" i="47"/>
  <c r="O34" i="47"/>
  <c r="P119" i="47"/>
  <c r="O41" i="47"/>
  <c r="O50" i="47"/>
  <c r="O52" i="47"/>
  <c r="O54" i="47"/>
  <c r="O56" i="47"/>
  <c r="O62" i="47"/>
  <c r="O64" i="47"/>
  <c r="P123" i="47"/>
  <c r="O24" i="47"/>
  <c r="O32" i="47"/>
  <c r="O42" i="47"/>
  <c r="P121" i="47"/>
  <c r="O25" i="47"/>
  <c r="O53" i="47"/>
  <c r="O57" i="47"/>
  <c r="O65" i="47"/>
  <c r="O26" i="47"/>
  <c r="O44" i="47"/>
  <c r="O19" i="47"/>
  <c r="O21" i="47"/>
  <c r="O28" i="47"/>
  <c r="O35" i="47"/>
  <c r="O37" i="47"/>
  <c r="O39" i="47"/>
  <c r="O46" i="47"/>
  <c r="O48" i="47"/>
  <c r="O58" i="47"/>
  <c r="O20" i="47"/>
  <c r="O27" i="47"/>
  <c r="O29" i="47"/>
  <c r="O36" i="47"/>
  <c r="O40" i="47"/>
  <c r="O47" i="47"/>
  <c r="O59" i="47"/>
  <c r="O61" i="47"/>
  <c r="O66" i="47"/>
  <c r="O68" i="47"/>
  <c r="O63" i="47"/>
  <c r="O70" i="47"/>
  <c r="O69" i="47"/>
  <c r="O42" i="48"/>
  <c r="O44" i="48"/>
  <c r="O48" i="48"/>
  <c r="O58" i="48"/>
  <c r="O60" i="48"/>
  <c r="O66" i="48"/>
  <c r="O25" i="48"/>
  <c r="O41" i="48"/>
  <c r="O20" i="48"/>
  <c r="O32" i="48"/>
  <c r="O36" i="48"/>
  <c r="O47" i="48"/>
  <c r="O49" i="48"/>
  <c r="O53" i="48"/>
  <c r="O61" i="48"/>
  <c r="O52" i="48"/>
  <c r="O63" i="48"/>
  <c r="O65" i="48"/>
  <c r="O29" i="48"/>
  <c r="O34" i="48"/>
  <c r="O37" i="48"/>
  <c r="O45" i="48"/>
  <c r="O24" i="48"/>
  <c r="O31" i="48"/>
  <c r="O33" i="48"/>
  <c r="O26" i="48"/>
  <c r="O28" i="48"/>
  <c r="O56" i="48"/>
  <c r="O72" i="48"/>
  <c r="O21" i="48"/>
  <c r="O39" i="48"/>
  <c r="O23" i="48"/>
  <c r="O40" i="48"/>
  <c r="O50" i="48"/>
  <c r="O55" i="48"/>
  <c r="O57" i="48"/>
  <c r="O69" i="48"/>
  <c r="O64" i="48"/>
  <c r="O71" i="48"/>
  <c r="P102" i="48"/>
  <c r="P106" i="48"/>
  <c r="P112" i="48"/>
  <c r="P116" i="48"/>
  <c r="P120" i="48"/>
  <c r="P130" i="48"/>
  <c r="P100" i="48"/>
  <c r="P104" i="48"/>
  <c r="P108" i="48"/>
  <c r="P110" i="48"/>
  <c r="P114" i="48"/>
  <c r="P122" i="48"/>
  <c r="P126" i="48"/>
  <c r="P121" i="48"/>
  <c r="P129" i="48"/>
  <c r="P100" i="49"/>
  <c r="P118" i="49"/>
  <c r="P122" i="49"/>
  <c r="P124" i="49"/>
  <c r="P126" i="49"/>
  <c r="P128" i="49"/>
  <c r="P130" i="49"/>
  <c r="P115" i="49"/>
  <c r="P117" i="49"/>
  <c r="P104" i="49"/>
  <c r="P107" i="49"/>
  <c r="D18" i="49"/>
  <c r="O33" i="49"/>
  <c r="O35" i="49"/>
  <c r="O50" i="49"/>
  <c r="O63" i="49"/>
  <c r="O22" i="49"/>
  <c r="O26" i="49"/>
  <c r="O28" i="49"/>
  <c r="O30" i="49"/>
  <c r="O41" i="49"/>
  <c r="O43" i="49"/>
  <c r="O56" i="49"/>
  <c r="O71" i="49"/>
  <c r="O66" i="49"/>
  <c r="P112" i="49"/>
  <c r="O29" i="49"/>
  <c r="O32" i="49"/>
  <c r="O37" i="49"/>
  <c r="O40" i="49"/>
  <c r="O45" i="49"/>
  <c r="O48" i="49"/>
  <c r="O53" i="49"/>
  <c r="O55" i="49"/>
  <c r="P105" i="49"/>
  <c r="P114" i="49"/>
  <c r="P116" i="49"/>
  <c r="O51" i="49"/>
  <c r="O58" i="49"/>
  <c r="O61" i="49"/>
  <c r="O69" i="49"/>
  <c r="P110" i="49"/>
  <c r="O19" i="49"/>
  <c r="O21" i="49"/>
  <c r="P108" i="49"/>
  <c r="P111" i="49"/>
  <c r="P101" i="49"/>
  <c r="P103" i="49"/>
  <c r="P121" i="49"/>
  <c r="P125" i="49"/>
  <c r="P127" i="49"/>
  <c r="P129" i="49"/>
  <c r="J96" i="49"/>
  <c r="C45" i="49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60" i="49" s="1"/>
  <c r="C61" i="49" s="1"/>
  <c r="C62" i="49" s="1"/>
  <c r="C63" i="49" s="1"/>
  <c r="C64" i="49" s="1"/>
  <c r="C65" i="49" s="1"/>
  <c r="C66" i="49" s="1"/>
  <c r="C67" i="49" s="1"/>
  <c r="C68" i="49" s="1"/>
  <c r="C69" i="49" s="1"/>
  <c r="C70" i="49" s="1"/>
  <c r="C71" i="49" s="1"/>
  <c r="C72" i="49" s="1"/>
  <c r="P106" i="49"/>
  <c r="O54" i="49"/>
  <c r="O57" i="49"/>
  <c r="O65" i="49"/>
  <c r="P102" i="49"/>
  <c r="P119" i="49"/>
  <c r="P123" i="49"/>
  <c r="P120" i="49"/>
  <c r="C45" i="48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60" i="48" s="1"/>
  <c r="C61" i="48" s="1"/>
  <c r="C62" i="48" s="1"/>
  <c r="C63" i="48" s="1"/>
  <c r="C64" i="48" s="1"/>
  <c r="C65" i="48" s="1"/>
  <c r="C66" i="48" s="1"/>
  <c r="C67" i="48" s="1"/>
  <c r="C68" i="48" s="1"/>
  <c r="C69" i="48" s="1"/>
  <c r="C70" i="48" s="1"/>
  <c r="C71" i="48" s="1"/>
  <c r="C72" i="48" s="1"/>
  <c r="O19" i="48"/>
  <c r="O22" i="48"/>
  <c r="O27" i="48"/>
  <c r="O30" i="48"/>
  <c r="O35" i="48"/>
  <c r="O43" i="48"/>
  <c r="O46" i="48"/>
  <c r="O51" i="48"/>
  <c r="O54" i="48"/>
  <c r="O59" i="48"/>
  <c r="O62" i="48"/>
  <c r="O67" i="48"/>
  <c r="O70" i="48"/>
  <c r="P101" i="48"/>
  <c r="P103" i="48"/>
  <c r="P105" i="48"/>
  <c r="P107" i="48"/>
  <c r="P109" i="48"/>
  <c r="P111" i="48"/>
  <c r="P113" i="48"/>
  <c r="P115" i="48"/>
  <c r="P117" i="48"/>
  <c r="P125" i="48"/>
  <c r="P118" i="48"/>
  <c r="P124" i="48"/>
  <c r="P128" i="48"/>
  <c r="P119" i="48"/>
  <c r="P123" i="48"/>
  <c r="P127" i="48"/>
  <c r="P125" i="47"/>
  <c r="P127" i="47"/>
  <c r="P129" i="47"/>
  <c r="P124" i="47"/>
  <c r="P126" i="47"/>
  <c r="P128" i="47"/>
  <c r="N99" i="46"/>
  <c r="L99" i="46"/>
  <c r="M99" i="46" s="1"/>
  <c r="M18" i="46"/>
  <c r="K18" i="46"/>
  <c r="L18" i="46" s="1"/>
  <c r="N100" i="45"/>
  <c r="L100" i="45"/>
  <c r="M100" i="45" s="1"/>
  <c r="N99" i="45"/>
  <c r="L99" i="45"/>
  <c r="M99" i="45" s="1"/>
  <c r="M19" i="45"/>
  <c r="K19" i="45"/>
  <c r="L19" i="45" s="1"/>
  <c r="N100" i="44"/>
  <c r="L100" i="44"/>
  <c r="M100" i="44" s="1"/>
  <c r="N99" i="44"/>
  <c r="M99" i="44"/>
  <c r="L99" i="44"/>
  <c r="M19" i="44"/>
  <c r="K19" i="44"/>
  <c r="L19" i="44" s="1"/>
  <c r="N101" i="43"/>
  <c r="L101" i="43"/>
  <c r="M101" i="43" s="1"/>
  <c r="N100" i="43"/>
  <c r="L100" i="43"/>
  <c r="M100" i="43" s="1"/>
  <c r="M20" i="43"/>
  <c r="K20" i="43"/>
  <c r="L20" i="43" s="1"/>
  <c r="N101" i="42"/>
  <c r="L101" i="42"/>
  <c r="M101" i="42" s="1"/>
  <c r="N100" i="42"/>
  <c r="M100" i="42"/>
  <c r="L100" i="42"/>
  <c r="M20" i="42"/>
  <c r="K20" i="42"/>
  <c r="L20" i="42" s="1"/>
  <c r="N101" i="41"/>
  <c r="L101" i="41"/>
  <c r="M101" i="41" s="1"/>
  <c r="N100" i="41"/>
  <c r="L100" i="41"/>
  <c r="M100" i="41" s="1"/>
  <c r="M20" i="41"/>
  <c r="K20" i="41"/>
  <c r="L20" i="41" s="1"/>
  <c r="N101" i="40"/>
  <c r="L101" i="40"/>
  <c r="M101" i="40" s="1"/>
  <c r="N100" i="40"/>
  <c r="L100" i="40"/>
  <c r="M100" i="40" s="1"/>
  <c r="M20" i="40"/>
  <c r="K20" i="40"/>
  <c r="L20" i="40" s="1"/>
  <c r="N102" i="39"/>
  <c r="L102" i="39"/>
  <c r="M102" i="39" s="1"/>
  <c r="N101" i="39"/>
  <c r="L101" i="39"/>
  <c r="M101" i="39" s="1"/>
  <c r="M21" i="39"/>
  <c r="K21" i="39"/>
  <c r="L21" i="39" s="1"/>
  <c r="N101" i="38"/>
  <c r="L101" i="38"/>
  <c r="M101" i="38" s="1"/>
  <c r="M21" i="38"/>
  <c r="K21" i="38"/>
  <c r="L21" i="38" s="1"/>
  <c r="N102" i="37"/>
  <c r="L102" i="37"/>
  <c r="M102" i="37" s="1"/>
  <c r="N101" i="37"/>
  <c r="L101" i="37"/>
  <c r="M101" i="37" s="1"/>
  <c r="M21" i="37"/>
  <c r="K21" i="37"/>
  <c r="L21" i="37" s="1"/>
  <c r="N105" i="31"/>
  <c r="L105" i="31"/>
  <c r="M105" i="31" s="1"/>
  <c r="N104" i="31"/>
  <c r="L104" i="31"/>
  <c r="M104" i="31" s="1"/>
  <c r="M24" i="31"/>
  <c r="K24" i="31"/>
  <c r="L24" i="31" s="1"/>
  <c r="N104" i="30"/>
  <c r="L104" i="30"/>
  <c r="M104" i="30" s="1"/>
  <c r="N103" i="30"/>
  <c r="L103" i="30"/>
  <c r="M103" i="30" s="1"/>
  <c r="M23" i="30"/>
  <c r="K23" i="30"/>
  <c r="L23" i="30" s="1"/>
  <c r="N105" i="29"/>
  <c r="L105" i="29"/>
  <c r="M105" i="29" s="1"/>
  <c r="N104" i="29"/>
  <c r="L104" i="29"/>
  <c r="M104" i="29" s="1"/>
  <c r="M24" i="29"/>
  <c r="K24" i="29"/>
  <c r="L24" i="29" s="1"/>
  <c r="N105" i="28"/>
  <c r="L105" i="28"/>
  <c r="M105" i="28" s="1"/>
  <c r="N104" i="28"/>
  <c r="M104" i="28"/>
  <c r="L104" i="28"/>
  <c r="M24" i="28"/>
  <c r="K24" i="28"/>
  <c r="L24" i="28" s="1"/>
  <c r="N106" i="27"/>
  <c r="L106" i="27"/>
  <c r="M106" i="27" s="1"/>
  <c r="N105" i="27"/>
  <c r="L105" i="27"/>
  <c r="M105" i="27" s="1"/>
  <c r="M25" i="27"/>
  <c r="K25" i="27"/>
  <c r="L25" i="27" s="1"/>
  <c r="N112" i="11"/>
  <c r="L112" i="11"/>
  <c r="M112" i="11" s="1"/>
  <c r="N111" i="11"/>
  <c r="L111" i="11"/>
  <c r="M111" i="11" s="1"/>
  <c r="M31" i="11"/>
  <c r="K31" i="11"/>
  <c r="L31" i="11" s="1"/>
  <c r="B18" i="49" l="1"/>
  <c r="J96" i="48"/>
  <c r="N18" i="47" l="1"/>
  <c r="O18" i="47" l="1"/>
  <c r="N18" i="48"/>
  <c r="O18" i="48" l="1"/>
  <c r="N113" i="10" l="1"/>
  <c r="L113" i="10"/>
  <c r="M113" i="10" s="1"/>
  <c r="N112" i="10"/>
  <c r="L112" i="10"/>
  <c r="M112" i="10" s="1"/>
  <c r="M32" i="10"/>
  <c r="K32" i="10"/>
  <c r="L32" i="10" s="1"/>
  <c r="N112" i="9"/>
  <c r="L112" i="9"/>
  <c r="M112" i="9" s="1"/>
  <c r="N111" i="9"/>
  <c r="L111" i="9"/>
  <c r="M111" i="9" s="1"/>
  <c r="M31" i="9"/>
  <c r="K31" i="9"/>
  <c r="L31" i="9" s="1"/>
  <c r="N111" i="8"/>
  <c r="L111" i="8"/>
  <c r="M111" i="8" s="1"/>
  <c r="N110" i="8"/>
  <c r="L110" i="8"/>
  <c r="M110" i="8" s="1"/>
  <c r="M30" i="8"/>
  <c r="K30" i="8"/>
  <c r="L30" i="8" s="1"/>
  <c r="N113" i="7"/>
  <c r="L113" i="7"/>
  <c r="M113" i="7" s="1"/>
  <c r="N112" i="7"/>
  <c r="L112" i="7"/>
  <c r="M112" i="7" s="1"/>
  <c r="M32" i="7"/>
  <c r="K32" i="7"/>
  <c r="L32" i="7" s="1"/>
  <c r="N111" i="6"/>
  <c r="L111" i="6"/>
  <c r="M111" i="6" s="1"/>
  <c r="N110" i="6"/>
  <c r="L110" i="6"/>
  <c r="M110" i="6" s="1"/>
  <c r="M30" i="6"/>
  <c r="K30" i="6"/>
  <c r="L30" i="6" s="1"/>
  <c r="N110" i="5"/>
  <c r="L110" i="5"/>
  <c r="M110" i="5" s="1"/>
  <c r="N109" i="5"/>
  <c r="L109" i="5"/>
  <c r="M109" i="5" s="1"/>
  <c r="M29" i="5"/>
  <c r="K29" i="5"/>
  <c r="L29" i="5" s="1"/>
  <c r="N110" i="4"/>
  <c r="L110" i="4"/>
  <c r="M110" i="4" s="1"/>
  <c r="N109" i="4"/>
  <c r="L109" i="4"/>
  <c r="M109" i="4" s="1"/>
  <c r="M29" i="4"/>
  <c r="K29" i="4"/>
  <c r="L29" i="4" s="1"/>
  <c r="N110" i="3"/>
  <c r="L110" i="3"/>
  <c r="M110" i="3" s="1"/>
  <c r="N109" i="3"/>
  <c r="L109" i="3"/>
  <c r="M109" i="3" s="1"/>
  <c r="M29" i="3"/>
  <c r="K29" i="3"/>
  <c r="L29" i="3" s="1"/>
  <c r="P45" i="17" l="1"/>
  <c r="I17" i="44"/>
  <c r="I18" i="44"/>
  <c r="M17" i="46" l="1"/>
  <c r="K17" i="46"/>
  <c r="L17" i="46" s="1"/>
  <c r="M23" i="31"/>
  <c r="K23" i="31"/>
  <c r="L23" i="31" s="1"/>
  <c r="M22" i="30"/>
  <c r="K22" i="30"/>
  <c r="L22" i="30" s="1"/>
  <c r="M18" i="44" l="1"/>
  <c r="K18" i="44"/>
  <c r="L18" i="44" s="1"/>
  <c r="M19" i="43"/>
  <c r="K19" i="43"/>
  <c r="L19" i="43" s="1"/>
  <c r="M19" i="42"/>
  <c r="K19" i="42"/>
  <c r="L19" i="42" s="1"/>
  <c r="M19" i="41"/>
  <c r="K19" i="41"/>
  <c r="L19" i="41" s="1"/>
  <c r="M19" i="40"/>
  <c r="K19" i="40"/>
  <c r="L19" i="40" s="1"/>
  <c r="M20" i="39"/>
  <c r="K20" i="39"/>
  <c r="L20" i="39" s="1"/>
  <c r="M20" i="38"/>
  <c r="K20" i="38"/>
  <c r="L20" i="38" s="1"/>
  <c r="M20" i="37"/>
  <c r="K20" i="37"/>
  <c r="L20" i="37" s="1"/>
  <c r="M23" i="29"/>
  <c r="K23" i="29"/>
  <c r="L23" i="29" s="1"/>
  <c r="M23" i="28"/>
  <c r="K23" i="28"/>
  <c r="L23" i="28" s="1"/>
  <c r="M24" i="27"/>
  <c r="K24" i="27"/>
  <c r="L24" i="27" s="1"/>
  <c r="M27" i="25"/>
  <c r="K27" i="25"/>
  <c r="L27" i="25" s="1"/>
  <c r="M25" i="24"/>
  <c r="K25" i="24"/>
  <c r="L25" i="24" s="1"/>
  <c r="M26" i="23"/>
  <c r="K26" i="23"/>
  <c r="L26" i="23" s="1"/>
  <c r="M27" i="22"/>
  <c r="K27" i="22"/>
  <c r="L27" i="22" s="1"/>
  <c r="M30" i="11"/>
  <c r="K30" i="11"/>
  <c r="L30" i="11" s="1"/>
  <c r="M31" i="10"/>
  <c r="K31" i="10"/>
  <c r="L31" i="10" s="1"/>
  <c r="M30" i="9"/>
  <c r="K30" i="9"/>
  <c r="L30" i="9" s="1"/>
  <c r="M29" i="8"/>
  <c r="K29" i="8"/>
  <c r="L29" i="8" s="1"/>
  <c r="M31" i="7"/>
  <c r="K31" i="7"/>
  <c r="L31" i="7" s="1"/>
  <c r="M29" i="6"/>
  <c r="K29" i="6"/>
  <c r="L29" i="6" s="1"/>
  <c r="M28" i="5"/>
  <c r="K28" i="5"/>
  <c r="L28" i="5" s="1"/>
  <c r="M28" i="4"/>
  <c r="K28" i="4"/>
  <c r="L28" i="4" s="1"/>
  <c r="M28" i="3"/>
  <c r="K28" i="3"/>
  <c r="L28" i="3" s="1"/>
  <c r="E13" i="17"/>
  <c r="H3" i="17"/>
  <c r="W43" i="17" l="1"/>
  <c r="N51" i="17"/>
  <c r="M17" i="45" l="1"/>
  <c r="K17" i="45"/>
  <c r="L17" i="45" s="1"/>
  <c r="M17" i="44"/>
  <c r="K17" i="44"/>
  <c r="L17" i="44" s="1"/>
  <c r="M18" i="42"/>
  <c r="K18" i="42"/>
  <c r="L18" i="42" s="1"/>
  <c r="M18" i="43"/>
  <c r="K18" i="43"/>
  <c r="L18" i="43" s="1"/>
  <c r="M18" i="41"/>
  <c r="K18" i="41"/>
  <c r="L18" i="41" s="1"/>
  <c r="M18" i="40"/>
  <c r="K18" i="40"/>
  <c r="L18" i="40" s="1"/>
  <c r="M19" i="39"/>
  <c r="K19" i="39"/>
  <c r="L19" i="39" s="1"/>
  <c r="M19" i="38"/>
  <c r="K19" i="38"/>
  <c r="L19" i="38" s="1"/>
  <c r="M19" i="37"/>
  <c r="K19" i="37"/>
  <c r="L19" i="37" s="1"/>
  <c r="M22" i="31"/>
  <c r="K22" i="31"/>
  <c r="L22" i="31" s="1"/>
  <c r="M21" i="30"/>
  <c r="K21" i="30"/>
  <c r="L21" i="30" s="1"/>
  <c r="M22" i="29"/>
  <c r="K22" i="29"/>
  <c r="L22" i="29" s="1"/>
  <c r="M22" i="28"/>
  <c r="K22" i="28"/>
  <c r="L22" i="28" s="1"/>
  <c r="M23" i="27"/>
  <c r="K23" i="27"/>
  <c r="L23" i="27" s="1"/>
  <c r="M26" i="25"/>
  <c r="N26" i="25" s="1"/>
  <c r="K26" i="25"/>
  <c r="L26" i="25" s="1"/>
  <c r="M24" i="24"/>
  <c r="N24" i="24" s="1"/>
  <c r="K24" i="24"/>
  <c r="L24" i="24" s="1"/>
  <c r="M25" i="23"/>
  <c r="N25" i="23" s="1"/>
  <c r="K25" i="23"/>
  <c r="L25" i="23" s="1"/>
  <c r="M26" i="22"/>
  <c r="N26" i="22" s="1"/>
  <c r="K26" i="22"/>
  <c r="L26" i="22" s="1"/>
  <c r="M29" i="11"/>
  <c r="N29" i="11" s="1"/>
  <c r="K29" i="11"/>
  <c r="L29" i="11" s="1"/>
  <c r="O24" i="24" l="1"/>
  <c r="O25" i="23"/>
  <c r="O26" i="22"/>
  <c r="M30" i="10" l="1"/>
  <c r="N30" i="10" s="1"/>
  <c r="K30" i="10"/>
  <c r="L30" i="10" s="1"/>
  <c r="M29" i="9"/>
  <c r="N29" i="9" s="1"/>
  <c r="K29" i="9"/>
  <c r="L29" i="9" s="1"/>
  <c r="M28" i="8"/>
  <c r="N28" i="8" s="1"/>
  <c r="K28" i="8"/>
  <c r="L28" i="8" s="1"/>
  <c r="M30" i="7"/>
  <c r="N30" i="7" s="1"/>
  <c r="K30" i="7"/>
  <c r="L30" i="7" s="1"/>
  <c r="M28" i="6"/>
  <c r="N28" i="6" s="1"/>
  <c r="K28" i="6"/>
  <c r="L28" i="6" s="1"/>
  <c r="M27" i="5"/>
  <c r="N27" i="5" s="1"/>
  <c r="K27" i="5"/>
  <c r="L27" i="5" s="1"/>
  <c r="M27" i="4"/>
  <c r="N27" i="4" s="1"/>
  <c r="K27" i="4"/>
  <c r="L27" i="4" s="1"/>
  <c r="M27" i="3"/>
  <c r="N27" i="3" s="1"/>
  <c r="K27" i="3"/>
  <c r="L27" i="3" s="1"/>
  <c r="O27" i="4" l="1"/>
  <c r="O30" i="10"/>
  <c r="O29" i="9"/>
  <c r="O28" i="8"/>
  <c r="O30" i="7"/>
  <c r="O28" i="6"/>
  <c r="O27" i="5"/>
  <c r="O27" i="3"/>
  <c r="N99" i="43" l="1"/>
  <c r="O99" i="43" s="1"/>
  <c r="P99" i="43" s="1"/>
  <c r="M99" i="43"/>
  <c r="L99" i="43"/>
  <c r="N99" i="42"/>
  <c r="O99" i="42" s="1"/>
  <c r="P99" i="42" s="1"/>
  <c r="M99" i="42"/>
  <c r="L99" i="42"/>
  <c r="N99" i="41"/>
  <c r="O99" i="41" s="1"/>
  <c r="P99" i="41" s="1"/>
  <c r="M99" i="41"/>
  <c r="L99" i="41"/>
  <c r="N99" i="40"/>
  <c r="O99" i="40" s="1"/>
  <c r="P99" i="40" s="1"/>
  <c r="M99" i="40"/>
  <c r="L99" i="40"/>
  <c r="N100" i="39"/>
  <c r="O100" i="39" s="1"/>
  <c r="P100" i="39" s="1"/>
  <c r="M100" i="39"/>
  <c r="L100" i="39"/>
  <c r="N100" i="37"/>
  <c r="O100" i="37" s="1"/>
  <c r="P100" i="37" s="1"/>
  <c r="M100" i="37"/>
  <c r="L100" i="37"/>
  <c r="N103" i="31"/>
  <c r="O103" i="31" s="1"/>
  <c r="P103" i="31" s="1"/>
  <c r="M103" i="31"/>
  <c r="L103" i="31"/>
  <c r="O102" i="30"/>
  <c r="N102" i="30"/>
  <c r="L102" i="30"/>
  <c r="M102" i="30" s="1"/>
  <c r="N103" i="29"/>
  <c r="O103" i="29" s="1"/>
  <c r="P103" i="29" s="1"/>
  <c r="M103" i="29"/>
  <c r="L103" i="29"/>
  <c r="N103" i="28"/>
  <c r="O103" i="28" s="1"/>
  <c r="P103" i="28" s="1"/>
  <c r="M103" i="28"/>
  <c r="L103" i="28"/>
  <c r="N104" i="27"/>
  <c r="O104" i="27" s="1"/>
  <c r="P104" i="27" s="1"/>
  <c r="M104" i="27"/>
  <c r="L104" i="27"/>
  <c r="N107" i="25"/>
  <c r="O107" i="25" s="1"/>
  <c r="P107" i="25" s="1"/>
  <c r="M107" i="25"/>
  <c r="L107" i="25"/>
  <c r="N105" i="24"/>
  <c r="O105" i="24" s="1"/>
  <c r="P105" i="24" s="1"/>
  <c r="M105" i="24"/>
  <c r="L105" i="24"/>
  <c r="N106" i="23"/>
  <c r="O106" i="23" s="1"/>
  <c r="P106" i="23" s="1"/>
  <c r="M106" i="23"/>
  <c r="L106" i="23"/>
  <c r="N107" i="22"/>
  <c r="O107" i="22" s="1"/>
  <c r="P107" i="22" s="1"/>
  <c r="M107" i="22"/>
  <c r="L107" i="22"/>
  <c r="N110" i="11"/>
  <c r="O110" i="11" s="1"/>
  <c r="P110" i="11" s="1"/>
  <c r="M110" i="11"/>
  <c r="L110" i="11"/>
  <c r="N111" i="10"/>
  <c r="O111" i="10" s="1"/>
  <c r="P111" i="10" s="1"/>
  <c r="M111" i="10"/>
  <c r="L111" i="10"/>
  <c r="N110" i="9"/>
  <c r="O110" i="9" s="1"/>
  <c r="L110" i="9"/>
  <c r="M110" i="9" s="1"/>
  <c r="N109" i="8"/>
  <c r="O109" i="8" s="1"/>
  <c r="P109" i="8" s="1"/>
  <c r="M109" i="8"/>
  <c r="L109" i="8"/>
  <c r="N111" i="7"/>
  <c r="O111" i="7" s="1"/>
  <c r="P111" i="7" s="1"/>
  <c r="M111" i="7"/>
  <c r="L111" i="7"/>
  <c r="N109" i="6"/>
  <c r="O109" i="6" s="1"/>
  <c r="P109" i="6" s="1"/>
  <c r="M109" i="6"/>
  <c r="L109" i="6"/>
  <c r="N108" i="5"/>
  <c r="O108" i="5" s="1"/>
  <c r="P108" i="5" s="1"/>
  <c r="M108" i="5"/>
  <c r="L108" i="5"/>
  <c r="N108" i="4"/>
  <c r="O108" i="4" s="1"/>
  <c r="P108" i="4" s="1"/>
  <c r="M108" i="4"/>
  <c r="L108" i="4"/>
  <c r="N108" i="3"/>
  <c r="O108" i="3" s="1"/>
  <c r="P108" i="3" s="1"/>
  <c r="M108" i="3"/>
  <c r="L108" i="3"/>
  <c r="O51" i="17"/>
  <c r="P44" i="17"/>
  <c r="P43" i="17"/>
  <c r="P110" i="9" l="1"/>
  <c r="P102" i="30"/>
  <c r="J51" i="17" l="1"/>
  <c r="G97" i="17" l="1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M17" i="43"/>
  <c r="K17" i="43"/>
  <c r="E36" i="1"/>
  <c r="E35" i="1"/>
  <c r="C36" i="1"/>
  <c r="C35" i="1"/>
  <c r="L19" i="1"/>
  <c r="I58" i="17"/>
  <c r="I10" i="48" l="1"/>
  <c r="I10" i="49"/>
  <c r="I10" i="47"/>
  <c r="I10" i="27"/>
  <c r="A4" i="1"/>
  <c r="A2" i="1"/>
  <c r="F97" i="17"/>
  <c r="E97" i="17"/>
  <c r="D92" i="47" l="1"/>
  <c r="D100" i="47" s="1"/>
  <c r="B100" i="47" s="1"/>
  <c r="E99" i="49"/>
  <c r="F99" i="49" s="1"/>
  <c r="E99" i="48"/>
  <c r="F99" i="48" s="1"/>
  <c r="P42" i="17"/>
  <c r="D100" i="48" l="1"/>
  <c r="B100" i="48" s="1"/>
  <c r="G99" i="48"/>
  <c r="G99" i="49"/>
  <c r="D100" i="49"/>
  <c r="E100" i="49" s="1"/>
  <c r="E36" i="2"/>
  <c r="E35" i="2"/>
  <c r="C36" i="2"/>
  <c r="C35" i="2"/>
  <c r="C34" i="2"/>
  <c r="E100" i="48" l="1"/>
  <c r="F100" i="48" s="1"/>
  <c r="D101" i="48" s="1"/>
  <c r="G100" i="48"/>
  <c r="B100" i="49"/>
  <c r="F100" i="49"/>
  <c r="W42" i="17"/>
  <c r="P154" i="46"/>
  <c r="O154" i="46"/>
  <c r="M154" i="46"/>
  <c r="J154" i="46"/>
  <c r="P153" i="46"/>
  <c r="O153" i="46"/>
  <c r="M153" i="46"/>
  <c r="J153" i="46"/>
  <c r="P152" i="46"/>
  <c r="O152" i="46"/>
  <c r="M152" i="46"/>
  <c r="J152" i="46"/>
  <c r="P151" i="46"/>
  <c r="O151" i="46"/>
  <c r="M151" i="46"/>
  <c r="J151" i="46"/>
  <c r="P150" i="46"/>
  <c r="O150" i="46"/>
  <c r="M150" i="46"/>
  <c r="J150" i="46"/>
  <c r="P149" i="46"/>
  <c r="O149" i="46"/>
  <c r="M149" i="46"/>
  <c r="J149" i="46"/>
  <c r="P148" i="46"/>
  <c r="O148" i="46"/>
  <c r="M148" i="46"/>
  <c r="J148" i="46"/>
  <c r="P147" i="46"/>
  <c r="O147" i="46"/>
  <c r="M147" i="46"/>
  <c r="J147" i="46"/>
  <c r="P146" i="46"/>
  <c r="O146" i="46"/>
  <c r="M146" i="46"/>
  <c r="J146" i="46"/>
  <c r="P145" i="46"/>
  <c r="O145" i="46"/>
  <c r="M145" i="46"/>
  <c r="J145" i="46"/>
  <c r="P144" i="46"/>
  <c r="O144" i="46"/>
  <c r="M144" i="46"/>
  <c r="J144" i="46"/>
  <c r="P143" i="46"/>
  <c r="O143" i="46"/>
  <c r="M143" i="46"/>
  <c r="J143" i="46"/>
  <c r="P142" i="46"/>
  <c r="O142" i="46"/>
  <c r="M142" i="46"/>
  <c r="J142" i="46"/>
  <c r="P141" i="46"/>
  <c r="O141" i="46"/>
  <c r="M141" i="46"/>
  <c r="J141" i="46"/>
  <c r="P140" i="46"/>
  <c r="O140" i="46"/>
  <c r="M140" i="46"/>
  <c r="J140" i="46"/>
  <c r="P139" i="46"/>
  <c r="O139" i="46"/>
  <c r="M139" i="46"/>
  <c r="J139" i="46"/>
  <c r="P138" i="46"/>
  <c r="O138" i="46"/>
  <c r="M138" i="46"/>
  <c r="J138" i="46"/>
  <c r="P137" i="46"/>
  <c r="O137" i="46"/>
  <c r="M137" i="46"/>
  <c r="J137" i="46"/>
  <c r="P136" i="46"/>
  <c r="O136" i="46"/>
  <c r="M136" i="46"/>
  <c r="J136" i="46"/>
  <c r="P135" i="46"/>
  <c r="O135" i="46"/>
  <c r="M135" i="46"/>
  <c r="J135" i="46"/>
  <c r="P134" i="46"/>
  <c r="O134" i="46"/>
  <c r="M134" i="46"/>
  <c r="J134" i="46"/>
  <c r="P133" i="46"/>
  <c r="O133" i="46"/>
  <c r="M133" i="46"/>
  <c r="J133" i="46"/>
  <c r="P132" i="46"/>
  <c r="O132" i="46"/>
  <c r="M132" i="46"/>
  <c r="J132" i="46"/>
  <c r="P131" i="46"/>
  <c r="O131" i="46"/>
  <c r="M131" i="46"/>
  <c r="J131" i="46"/>
  <c r="O130" i="46"/>
  <c r="M130" i="46"/>
  <c r="O129" i="46"/>
  <c r="M129" i="46"/>
  <c r="O128" i="46"/>
  <c r="M128" i="46"/>
  <c r="O127" i="46"/>
  <c r="M127" i="46"/>
  <c r="O126" i="46"/>
  <c r="M126" i="46"/>
  <c r="O125" i="46"/>
  <c r="M125" i="46"/>
  <c r="O124" i="46"/>
  <c r="M124" i="46"/>
  <c r="O123" i="46"/>
  <c r="M123" i="46"/>
  <c r="O122" i="46"/>
  <c r="M122" i="46"/>
  <c r="O121" i="46"/>
  <c r="M121" i="46"/>
  <c r="O120" i="46"/>
  <c r="M120" i="46"/>
  <c r="O119" i="46"/>
  <c r="M119" i="46"/>
  <c r="O118" i="46"/>
  <c r="M118" i="46"/>
  <c r="O117" i="46"/>
  <c r="M117" i="46"/>
  <c r="O116" i="46"/>
  <c r="M116" i="46"/>
  <c r="O115" i="46"/>
  <c r="M115" i="46"/>
  <c r="O114" i="46"/>
  <c r="M114" i="46"/>
  <c r="O113" i="46"/>
  <c r="M113" i="46"/>
  <c r="O112" i="46"/>
  <c r="M112" i="46"/>
  <c r="O111" i="46"/>
  <c r="M111" i="46"/>
  <c r="O110" i="46"/>
  <c r="M110" i="46"/>
  <c r="O109" i="46"/>
  <c r="M109" i="46"/>
  <c r="O108" i="46"/>
  <c r="M108" i="46"/>
  <c r="O107" i="46"/>
  <c r="M107" i="46"/>
  <c r="O106" i="46"/>
  <c r="M106" i="46"/>
  <c r="O105" i="46"/>
  <c r="M105" i="46"/>
  <c r="O104" i="46"/>
  <c r="M104" i="46"/>
  <c r="O103" i="46"/>
  <c r="M103" i="46"/>
  <c r="O102" i="46"/>
  <c r="M102" i="46"/>
  <c r="O101" i="46"/>
  <c r="M101" i="46"/>
  <c r="O100" i="46"/>
  <c r="M100" i="46"/>
  <c r="O99" i="46"/>
  <c r="C99" i="46"/>
  <c r="C100" i="46" s="1"/>
  <c r="C101" i="46" s="1"/>
  <c r="C102" i="46" s="1"/>
  <c r="C103" i="46" s="1"/>
  <c r="C104" i="46" s="1"/>
  <c r="C105" i="46" s="1"/>
  <c r="C106" i="46" s="1"/>
  <c r="C107" i="46" s="1"/>
  <c r="C108" i="46" s="1"/>
  <c r="C109" i="46" s="1"/>
  <c r="C110" i="46" s="1"/>
  <c r="C111" i="46" s="1"/>
  <c r="C112" i="46" s="1"/>
  <c r="C113" i="46" s="1"/>
  <c r="C114" i="46" s="1"/>
  <c r="C115" i="46" s="1"/>
  <c r="C116" i="46" s="1"/>
  <c r="C117" i="46" s="1"/>
  <c r="C118" i="46" s="1"/>
  <c r="C119" i="46" s="1"/>
  <c r="C120" i="46" s="1"/>
  <c r="C121" i="46" s="1"/>
  <c r="C122" i="46" s="1"/>
  <c r="C123" i="46" s="1"/>
  <c r="C124" i="46" s="1"/>
  <c r="C125" i="46" s="1"/>
  <c r="C126" i="46" s="1"/>
  <c r="C127" i="46" s="1"/>
  <c r="C128" i="46" s="1"/>
  <c r="C129" i="46" s="1"/>
  <c r="C130" i="46" s="1"/>
  <c r="C131" i="46" s="1"/>
  <c r="C132" i="46" s="1"/>
  <c r="C133" i="46" s="1"/>
  <c r="C134" i="46" s="1"/>
  <c r="C135" i="46" s="1"/>
  <c r="C136" i="46" s="1"/>
  <c r="C137" i="46" s="1"/>
  <c r="C138" i="46" s="1"/>
  <c r="C139" i="46" s="1"/>
  <c r="C140" i="46" s="1"/>
  <c r="C141" i="46" s="1"/>
  <c r="C142" i="46" s="1"/>
  <c r="C143" i="46" s="1"/>
  <c r="C144" i="46" s="1"/>
  <c r="C145" i="46" s="1"/>
  <c r="C146" i="46" s="1"/>
  <c r="C147" i="46" s="1"/>
  <c r="C148" i="46" s="1"/>
  <c r="C149" i="46" s="1"/>
  <c r="C150" i="46" s="1"/>
  <c r="C151" i="46" s="1"/>
  <c r="C152" i="46" s="1"/>
  <c r="C153" i="46" s="1"/>
  <c r="C154" i="46" s="1"/>
  <c r="D96" i="46"/>
  <c r="L93" i="46"/>
  <c r="J93" i="46"/>
  <c r="N72" i="46"/>
  <c r="L72" i="46"/>
  <c r="N71" i="46"/>
  <c r="L71" i="46"/>
  <c r="N70" i="46"/>
  <c r="L70" i="46"/>
  <c r="N69" i="46"/>
  <c r="L69" i="46"/>
  <c r="N68" i="46"/>
  <c r="L68" i="46"/>
  <c r="N67" i="46"/>
  <c r="L67" i="46"/>
  <c r="N66" i="46"/>
  <c r="L66" i="46"/>
  <c r="N65" i="46"/>
  <c r="L65" i="46"/>
  <c r="N64" i="46"/>
  <c r="L64" i="46"/>
  <c r="N63" i="46"/>
  <c r="L63" i="46"/>
  <c r="N62" i="46"/>
  <c r="L62" i="46"/>
  <c r="N61" i="46"/>
  <c r="L61" i="46"/>
  <c r="N60" i="46"/>
  <c r="L60" i="46"/>
  <c r="N59" i="46"/>
  <c r="L59" i="46"/>
  <c r="N58" i="46"/>
  <c r="L58" i="46"/>
  <c r="N57" i="46"/>
  <c r="L57" i="46"/>
  <c r="N56" i="46"/>
  <c r="L56" i="46"/>
  <c r="N55" i="46"/>
  <c r="L55" i="46"/>
  <c r="N54" i="46"/>
  <c r="L54" i="46"/>
  <c r="N53" i="46"/>
  <c r="L53" i="46"/>
  <c r="N52" i="46"/>
  <c r="L52" i="46"/>
  <c r="N51" i="46"/>
  <c r="L51" i="46"/>
  <c r="N50" i="46"/>
  <c r="L50" i="46"/>
  <c r="N49" i="46"/>
  <c r="L49" i="46"/>
  <c r="N48" i="46"/>
  <c r="L48" i="46"/>
  <c r="N47" i="46"/>
  <c r="L47" i="46"/>
  <c r="N46" i="46"/>
  <c r="L46" i="46"/>
  <c r="N45" i="46"/>
  <c r="L45" i="46"/>
  <c r="N44" i="46"/>
  <c r="L44" i="46"/>
  <c r="N43" i="46"/>
  <c r="L43" i="46"/>
  <c r="N42" i="46"/>
  <c r="L42" i="46"/>
  <c r="N41" i="46"/>
  <c r="L41" i="46"/>
  <c r="N40" i="46"/>
  <c r="L40" i="46"/>
  <c r="N39" i="46"/>
  <c r="L39" i="46"/>
  <c r="N38" i="46"/>
  <c r="L38" i="46"/>
  <c r="N37" i="46"/>
  <c r="L37" i="46"/>
  <c r="N36" i="46"/>
  <c r="L36" i="46"/>
  <c r="N35" i="46"/>
  <c r="L35" i="46"/>
  <c r="N34" i="46"/>
  <c r="L34" i="46"/>
  <c r="N33" i="46"/>
  <c r="L33" i="46"/>
  <c r="N32" i="46"/>
  <c r="L32" i="46"/>
  <c r="N31" i="46"/>
  <c r="L31" i="46"/>
  <c r="N30" i="46"/>
  <c r="L30" i="46"/>
  <c r="N29" i="46"/>
  <c r="L29" i="46"/>
  <c r="N28" i="46"/>
  <c r="L28" i="46"/>
  <c r="N27" i="46"/>
  <c r="L27" i="46"/>
  <c r="N26" i="46"/>
  <c r="L26" i="46"/>
  <c r="N25" i="46"/>
  <c r="L25" i="46"/>
  <c r="N24" i="46"/>
  <c r="L24" i="46"/>
  <c r="N23" i="46"/>
  <c r="L23" i="46"/>
  <c r="N22" i="46"/>
  <c r="L22" i="46"/>
  <c r="N21" i="46"/>
  <c r="L21" i="46"/>
  <c r="N20" i="46"/>
  <c r="L20" i="46"/>
  <c r="N19" i="46"/>
  <c r="L19" i="46"/>
  <c r="N18" i="46"/>
  <c r="N17" i="46"/>
  <c r="C17" i="46"/>
  <c r="C18" i="46" s="1"/>
  <c r="C19" i="46" s="1"/>
  <c r="C20" i="46" s="1"/>
  <c r="C21" i="46" s="1"/>
  <c r="C22" i="46" s="1"/>
  <c r="C23" i="46" s="1"/>
  <c r="C24" i="46" s="1"/>
  <c r="C25" i="46" s="1"/>
  <c r="C26" i="46" s="1"/>
  <c r="C27" i="46" s="1"/>
  <c r="C28" i="46" s="1"/>
  <c r="C29" i="46" s="1"/>
  <c r="C30" i="46" s="1"/>
  <c r="C31" i="46" s="1"/>
  <c r="C32" i="46" s="1"/>
  <c r="C33" i="46" s="1"/>
  <c r="C34" i="46" s="1"/>
  <c r="C35" i="46" s="1"/>
  <c r="C36" i="46" s="1"/>
  <c r="C37" i="46" s="1"/>
  <c r="C38" i="46" s="1"/>
  <c r="C39" i="46" s="1"/>
  <c r="C40" i="46" s="1"/>
  <c r="C41" i="46" s="1"/>
  <c r="C42" i="46" s="1"/>
  <c r="C43" i="46" s="1"/>
  <c r="C44" i="46" s="1"/>
  <c r="K11" i="46"/>
  <c r="I11" i="46"/>
  <c r="P1" i="46"/>
  <c r="P83" i="46" s="1"/>
  <c r="P154" i="45"/>
  <c r="O154" i="45"/>
  <c r="M154" i="45"/>
  <c r="J154" i="45"/>
  <c r="P153" i="45"/>
  <c r="O153" i="45"/>
  <c r="M153" i="45"/>
  <c r="J153" i="45"/>
  <c r="P152" i="45"/>
  <c r="O152" i="45"/>
  <c r="M152" i="45"/>
  <c r="J152" i="45"/>
  <c r="P151" i="45"/>
  <c r="O151" i="45"/>
  <c r="M151" i="45"/>
  <c r="J151" i="45"/>
  <c r="P150" i="45"/>
  <c r="O150" i="45"/>
  <c r="M150" i="45"/>
  <c r="J150" i="45"/>
  <c r="P149" i="45"/>
  <c r="O149" i="45"/>
  <c r="M149" i="45"/>
  <c r="J149" i="45"/>
  <c r="P148" i="45"/>
  <c r="O148" i="45"/>
  <c r="M148" i="45"/>
  <c r="J148" i="45"/>
  <c r="P147" i="45"/>
  <c r="O147" i="45"/>
  <c r="M147" i="45"/>
  <c r="J147" i="45"/>
  <c r="P146" i="45"/>
  <c r="O146" i="45"/>
  <c r="M146" i="45"/>
  <c r="J146" i="45"/>
  <c r="P145" i="45"/>
  <c r="O145" i="45"/>
  <c r="M145" i="45"/>
  <c r="J145" i="45"/>
  <c r="P144" i="45"/>
  <c r="O144" i="45"/>
  <c r="M144" i="45"/>
  <c r="J144" i="45"/>
  <c r="P143" i="45"/>
  <c r="O143" i="45"/>
  <c r="M143" i="45"/>
  <c r="J143" i="45"/>
  <c r="P142" i="45"/>
  <c r="O142" i="45"/>
  <c r="M142" i="45"/>
  <c r="J142" i="45"/>
  <c r="P141" i="45"/>
  <c r="O141" i="45"/>
  <c r="M141" i="45"/>
  <c r="J141" i="45"/>
  <c r="P140" i="45"/>
  <c r="O140" i="45"/>
  <c r="M140" i="45"/>
  <c r="J140" i="45"/>
  <c r="P139" i="45"/>
  <c r="O139" i="45"/>
  <c r="M139" i="45"/>
  <c r="J139" i="45"/>
  <c r="P138" i="45"/>
  <c r="O138" i="45"/>
  <c r="M138" i="45"/>
  <c r="J138" i="45"/>
  <c r="P137" i="45"/>
  <c r="O137" i="45"/>
  <c r="M137" i="45"/>
  <c r="J137" i="45"/>
  <c r="P136" i="45"/>
  <c r="O136" i="45"/>
  <c r="M136" i="45"/>
  <c r="J136" i="45"/>
  <c r="P135" i="45"/>
  <c r="O135" i="45"/>
  <c r="M135" i="45"/>
  <c r="J135" i="45"/>
  <c r="P134" i="45"/>
  <c r="O134" i="45"/>
  <c r="M134" i="45"/>
  <c r="J134" i="45"/>
  <c r="P133" i="45"/>
  <c r="O133" i="45"/>
  <c r="M133" i="45"/>
  <c r="J133" i="45"/>
  <c r="P132" i="45"/>
  <c r="O132" i="45"/>
  <c r="M132" i="45"/>
  <c r="J132" i="45"/>
  <c r="P131" i="45"/>
  <c r="O131" i="45"/>
  <c r="M131" i="45"/>
  <c r="J131" i="45"/>
  <c r="O130" i="45"/>
  <c r="M130" i="45"/>
  <c r="O129" i="45"/>
  <c r="M129" i="45"/>
  <c r="O128" i="45"/>
  <c r="M128" i="45"/>
  <c r="O127" i="45"/>
  <c r="M127" i="45"/>
  <c r="O126" i="45"/>
  <c r="M126" i="45"/>
  <c r="O125" i="45"/>
  <c r="M125" i="45"/>
  <c r="O124" i="45"/>
  <c r="M124" i="45"/>
  <c r="O123" i="45"/>
  <c r="M123" i="45"/>
  <c r="O122" i="45"/>
  <c r="M122" i="45"/>
  <c r="O121" i="45"/>
  <c r="M121" i="45"/>
  <c r="O120" i="45"/>
  <c r="M120" i="45"/>
  <c r="O119" i="45"/>
  <c r="M119" i="45"/>
  <c r="O118" i="45"/>
  <c r="M118" i="45"/>
  <c r="O117" i="45"/>
  <c r="M117" i="45"/>
  <c r="O116" i="45"/>
  <c r="M116" i="45"/>
  <c r="O115" i="45"/>
  <c r="M115" i="45"/>
  <c r="O114" i="45"/>
  <c r="M114" i="45"/>
  <c r="O113" i="45"/>
  <c r="M113" i="45"/>
  <c r="O112" i="45"/>
  <c r="M112" i="45"/>
  <c r="O111" i="45"/>
  <c r="M111" i="45"/>
  <c r="O110" i="45"/>
  <c r="M110" i="45"/>
  <c r="O109" i="45"/>
  <c r="M109" i="45"/>
  <c r="O108" i="45"/>
  <c r="M108" i="45"/>
  <c r="O107" i="45"/>
  <c r="M107" i="45"/>
  <c r="O106" i="45"/>
  <c r="M106" i="45"/>
  <c r="O105" i="45"/>
  <c r="M105" i="45"/>
  <c r="O104" i="45"/>
  <c r="M104" i="45"/>
  <c r="O103" i="45"/>
  <c r="M103" i="45"/>
  <c r="O102" i="45"/>
  <c r="M102" i="45"/>
  <c r="O101" i="45"/>
  <c r="M101" i="45"/>
  <c r="O100" i="45"/>
  <c r="O99" i="45"/>
  <c r="C99" i="45"/>
  <c r="C100" i="45" s="1"/>
  <c r="C101" i="45" s="1"/>
  <c r="C102" i="45" s="1"/>
  <c r="C103" i="45" s="1"/>
  <c r="C104" i="45" s="1"/>
  <c r="C105" i="45" s="1"/>
  <c r="C106" i="45" s="1"/>
  <c r="C107" i="45" s="1"/>
  <c r="C108" i="45" s="1"/>
  <c r="C109" i="45" s="1"/>
  <c r="C110" i="45" s="1"/>
  <c r="C111" i="45" s="1"/>
  <c r="C112" i="45" s="1"/>
  <c r="C113" i="45" s="1"/>
  <c r="C114" i="45" s="1"/>
  <c r="C115" i="45" s="1"/>
  <c r="C116" i="45" s="1"/>
  <c r="C117" i="45" s="1"/>
  <c r="C118" i="45" s="1"/>
  <c r="C119" i="45" s="1"/>
  <c r="C120" i="45" s="1"/>
  <c r="C121" i="45" s="1"/>
  <c r="C122" i="45" s="1"/>
  <c r="C123" i="45" s="1"/>
  <c r="C124" i="45" s="1"/>
  <c r="C125" i="45" s="1"/>
  <c r="C126" i="45" s="1"/>
  <c r="C127" i="45" s="1"/>
  <c r="C128" i="45" s="1"/>
  <c r="C129" i="45" s="1"/>
  <c r="C130" i="45" s="1"/>
  <c r="C131" i="45" s="1"/>
  <c r="C132" i="45" s="1"/>
  <c r="C133" i="45" s="1"/>
  <c r="C134" i="45" s="1"/>
  <c r="C135" i="45" s="1"/>
  <c r="C136" i="45" s="1"/>
  <c r="C137" i="45" s="1"/>
  <c r="C138" i="45" s="1"/>
  <c r="C139" i="45" s="1"/>
  <c r="C140" i="45" s="1"/>
  <c r="C141" i="45" s="1"/>
  <c r="C142" i="45" s="1"/>
  <c r="C143" i="45" s="1"/>
  <c r="C144" i="45" s="1"/>
  <c r="C145" i="45" s="1"/>
  <c r="C146" i="45" s="1"/>
  <c r="C147" i="45" s="1"/>
  <c r="C148" i="45" s="1"/>
  <c r="C149" i="45" s="1"/>
  <c r="C150" i="45" s="1"/>
  <c r="C151" i="45" s="1"/>
  <c r="C152" i="45" s="1"/>
  <c r="C153" i="45" s="1"/>
  <c r="C154" i="45" s="1"/>
  <c r="D96" i="45"/>
  <c r="L93" i="45"/>
  <c r="J93" i="45"/>
  <c r="D91" i="45"/>
  <c r="D89" i="45"/>
  <c r="N72" i="45"/>
  <c r="L72" i="45"/>
  <c r="N71" i="45"/>
  <c r="L71" i="45"/>
  <c r="N70" i="45"/>
  <c r="L70" i="45"/>
  <c r="N69" i="45"/>
  <c r="L69" i="45"/>
  <c r="N68" i="45"/>
  <c r="L68" i="45"/>
  <c r="N67" i="45"/>
  <c r="L67" i="45"/>
  <c r="N66" i="45"/>
  <c r="L66" i="45"/>
  <c r="N65" i="45"/>
  <c r="L65" i="45"/>
  <c r="N64" i="45"/>
  <c r="L64" i="45"/>
  <c r="N63" i="45"/>
  <c r="L63" i="45"/>
  <c r="N62" i="45"/>
  <c r="L62" i="45"/>
  <c r="N61" i="45"/>
  <c r="L61" i="45"/>
  <c r="N60" i="45"/>
  <c r="L60" i="45"/>
  <c r="N59" i="45"/>
  <c r="L59" i="45"/>
  <c r="N58" i="45"/>
  <c r="L58" i="45"/>
  <c r="N57" i="45"/>
  <c r="L57" i="45"/>
  <c r="N56" i="45"/>
  <c r="L56" i="45"/>
  <c r="N55" i="45"/>
  <c r="L55" i="45"/>
  <c r="N54" i="45"/>
  <c r="L54" i="45"/>
  <c r="N53" i="45"/>
  <c r="L53" i="45"/>
  <c r="N52" i="45"/>
  <c r="L52" i="45"/>
  <c r="N51" i="45"/>
  <c r="L51" i="45"/>
  <c r="N50" i="45"/>
  <c r="L50" i="45"/>
  <c r="N49" i="45"/>
  <c r="L49" i="45"/>
  <c r="N48" i="45"/>
  <c r="L48" i="45"/>
  <c r="N47" i="45"/>
  <c r="L47" i="45"/>
  <c r="N46" i="45"/>
  <c r="L46" i="45"/>
  <c r="N45" i="45"/>
  <c r="L45" i="45"/>
  <c r="N44" i="45"/>
  <c r="L44" i="45"/>
  <c r="N43" i="45"/>
  <c r="L43" i="45"/>
  <c r="N42" i="45"/>
  <c r="L42" i="45"/>
  <c r="N41" i="45"/>
  <c r="L41" i="45"/>
  <c r="N40" i="45"/>
  <c r="L40" i="45"/>
  <c r="N39" i="45"/>
  <c r="L39" i="45"/>
  <c r="N38" i="45"/>
  <c r="L38" i="45"/>
  <c r="N37" i="45"/>
  <c r="L37" i="45"/>
  <c r="N36" i="45"/>
  <c r="L36" i="45"/>
  <c r="N35" i="45"/>
  <c r="L35" i="45"/>
  <c r="N34" i="45"/>
  <c r="L34" i="45"/>
  <c r="N33" i="45"/>
  <c r="L33" i="45"/>
  <c r="N32" i="45"/>
  <c r="L32" i="45"/>
  <c r="N31" i="45"/>
  <c r="L31" i="45"/>
  <c r="N30" i="45"/>
  <c r="L30" i="45"/>
  <c r="N29" i="45"/>
  <c r="L29" i="45"/>
  <c r="N28" i="45"/>
  <c r="L28" i="45"/>
  <c r="N27" i="45"/>
  <c r="L27" i="45"/>
  <c r="N26" i="45"/>
  <c r="L26" i="45"/>
  <c r="N25" i="45"/>
  <c r="L25" i="45"/>
  <c r="N24" i="45"/>
  <c r="L24" i="45"/>
  <c r="N23" i="45"/>
  <c r="L23" i="45"/>
  <c r="N22" i="45"/>
  <c r="L22" i="45"/>
  <c r="N21" i="45"/>
  <c r="L21" i="45"/>
  <c r="N20" i="45"/>
  <c r="L20" i="45"/>
  <c r="N19" i="45"/>
  <c r="N17" i="45"/>
  <c r="C17" i="45"/>
  <c r="K11" i="45"/>
  <c r="I11" i="45"/>
  <c r="D90" i="45"/>
  <c r="P1" i="45"/>
  <c r="P83" i="45" s="1"/>
  <c r="P154" i="44"/>
  <c r="O154" i="44"/>
  <c r="M154" i="44"/>
  <c r="J154" i="44"/>
  <c r="P153" i="44"/>
  <c r="O153" i="44"/>
  <c r="M153" i="44"/>
  <c r="J153" i="44"/>
  <c r="P152" i="44"/>
  <c r="O152" i="44"/>
  <c r="M152" i="44"/>
  <c r="J152" i="44"/>
  <c r="P151" i="44"/>
  <c r="O151" i="44"/>
  <c r="M151" i="44"/>
  <c r="J151" i="44"/>
  <c r="P150" i="44"/>
  <c r="O150" i="44"/>
  <c r="M150" i="44"/>
  <c r="J150" i="44"/>
  <c r="P149" i="44"/>
  <c r="O149" i="44"/>
  <c r="M149" i="44"/>
  <c r="J149" i="44"/>
  <c r="P148" i="44"/>
  <c r="O148" i="44"/>
  <c r="M148" i="44"/>
  <c r="J148" i="44"/>
  <c r="P147" i="44"/>
  <c r="O147" i="44"/>
  <c r="M147" i="44"/>
  <c r="J147" i="44"/>
  <c r="P146" i="44"/>
  <c r="O146" i="44"/>
  <c r="M146" i="44"/>
  <c r="J146" i="44"/>
  <c r="P145" i="44"/>
  <c r="O145" i="44"/>
  <c r="M145" i="44"/>
  <c r="J145" i="44"/>
  <c r="P144" i="44"/>
  <c r="O144" i="44"/>
  <c r="M144" i="44"/>
  <c r="J144" i="44"/>
  <c r="P143" i="44"/>
  <c r="O143" i="44"/>
  <c r="M143" i="44"/>
  <c r="J143" i="44"/>
  <c r="P142" i="44"/>
  <c r="O142" i="44"/>
  <c r="M142" i="44"/>
  <c r="J142" i="44"/>
  <c r="P141" i="44"/>
  <c r="O141" i="44"/>
  <c r="M141" i="44"/>
  <c r="J141" i="44"/>
  <c r="P140" i="44"/>
  <c r="O140" i="44"/>
  <c r="M140" i="44"/>
  <c r="J140" i="44"/>
  <c r="P139" i="44"/>
  <c r="O139" i="44"/>
  <c r="M139" i="44"/>
  <c r="J139" i="44"/>
  <c r="P138" i="44"/>
  <c r="O138" i="44"/>
  <c r="M138" i="44"/>
  <c r="J138" i="44"/>
  <c r="P137" i="44"/>
  <c r="O137" i="44"/>
  <c r="M137" i="44"/>
  <c r="J137" i="44"/>
  <c r="P136" i="44"/>
  <c r="O136" i="44"/>
  <c r="M136" i="44"/>
  <c r="J136" i="44"/>
  <c r="P135" i="44"/>
  <c r="O135" i="44"/>
  <c r="M135" i="44"/>
  <c r="J135" i="44"/>
  <c r="P134" i="44"/>
  <c r="O134" i="44"/>
  <c r="M134" i="44"/>
  <c r="J134" i="44"/>
  <c r="P133" i="44"/>
  <c r="O133" i="44"/>
  <c r="M133" i="44"/>
  <c r="J133" i="44"/>
  <c r="P132" i="44"/>
  <c r="O132" i="44"/>
  <c r="M132" i="44"/>
  <c r="J132" i="44"/>
  <c r="P131" i="44"/>
  <c r="O131" i="44"/>
  <c r="M131" i="44"/>
  <c r="J131" i="44"/>
  <c r="O130" i="44"/>
  <c r="M130" i="44"/>
  <c r="O129" i="44"/>
  <c r="M129" i="44"/>
  <c r="O128" i="44"/>
  <c r="M128" i="44"/>
  <c r="O127" i="44"/>
  <c r="M127" i="44"/>
  <c r="O126" i="44"/>
  <c r="M126" i="44"/>
  <c r="O125" i="44"/>
  <c r="M125" i="44"/>
  <c r="O124" i="44"/>
  <c r="M124" i="44"/>
  <c r="O123" i="44"/>
  <c r="M123" i="44"/>
  <c r="O122" i="44"/>
  <c r="M122" i="44"/>
  <c r="O121" i="44"/>
  <c r="M121" i="44"/>
  <c r="O120" i="44"/>
  <c r="M120" i="44"/>
  <c r="O119" i="44"/>
  <c r="M119" i="44"/>
  <c r="O118" i="44"/>
  <c r="M118" i="44"/>
  <c r="O117" i="44"/>
  <c r="M117" i="44"/>
  <c r="O116" i="44"/>
  <c r="M116" i="44"/>
  <c r="O115" i="44"/>
  <c r="M115" i="44"/>
  <c r="O114" i="44"/>
  <c r="M114" i="44"/>
  <c r="O113" i="44"/>
  <c r="M113" i="44"/>
  <c r="O112" i="44"/>
  <c r="M112" i="44"/>
  <c r="O111" i="44"/>
  <c r="M111" i="44"/>
  <c r="O110" i="44"/>
  <c r="M110" i="44"/>
  <c r="O109" i="44"/>
  <c r="M109" i="44"/>
  <c r="O108" i="44"/>
  <c r="M108" i="44"/>
  <c r="O107" i="44"/>
  <c r="M107" i="44"/>
  <c r="O106" i="44"/>
  <c r="M106" i="44"/>
  <c r="O105" i="44"/>
  <c r="M105" i="44"/>
  <c r="O104" i="44"/>
  <c r="M104" i="44"/>
  <c r="O103" i="44"/>
  <c r="M103" i="44"/>
  <c r="O102" i="44"/>
  <c r="M102" i="44"/>
  <c r="O101" i="44"/>
  <c r="M101" i="44"/>
  <c r="O100" i="44"/>
  <c r="C100" i="44"/>
  <c r="C101" i="44" s="1"/>
  <c r="C102" i="44" s="1"/>
  <c r="C103" i="44" s="1"/>
  <c r="C104" i="44" s="1"/>
  <c r="C105" i="44" s="1"/>
  <c r="C106" i="44" s="1"/>
  <c r="C107" i="44" s="1"/>
  <c r="C108" i="44" s="1"/>
  <c r="C109" i="44" s="1"/>
  <c r="C110" i="44" s="1"/>
  <c r="C111" i="44" s="1"/>
  <c r="C112" i="44" s="1"/>
  <c r="C113" i="44" s="1"/>
  <c r="C114" i="44" s="1"/>
  <c r="C115" i="44" s="1"/>
  <c r="C116" i="44" s="1"/>
  <c r="C117" i="44" s="1"/>
  <c r="C118" i="44" s="1"/>
  <c r="C119" i="44" s="1"/>
  <c r="C120" i="44" s="1"/>
  <c r="C121" i="44" s="1"/>
  <c r="C122" i="44" s="1"/>
  <c r="C123" i="44" s="1"/>
  <c r="C124" i="44" s="1"/>
  <c r="C125" i="44" s="1"/>
  <c r="C126" i="44" s="1"/>
  <c r="C127" i="44" s="1"/>
  <c r="C128" i="44" s="1"/>
  <c r="C129" i="44" s="1"/>
  <c r="C130" i="44" s="1"/>
  <c r="C131" i="44" s="1"/>
  <c r="C132" i="44" s="1"/>
  <c r="C133" i="44" s="1"/>
  <c r="C134" i="44" s="1"/>
  <c r="C135" i="44" s="1"/>
  <c r="C136" i="44" s="1"/>
  <c r="C137" i="44" s="1"/>
  <c r="C138" i="44" s="1"/>
  <c r="C139" i="44" s="1"/>
  <c r="C140" i="44" s="1"/>
  <c r="C141" i="44" s="1"/>
  <c r="C142" i="44" s="1"/>
  <c r="C143" i="44" s="1"/>
  <c r="C144" i="44" s="1"/>
  <c r="C145" i="44" s="1"/>
  <c r="C146" i="44" s="1"/>
  <c r="C147" i="44" s="1"/>
  <c r="C148" i="44" s="1"/>
  <c r="C149" i="44" s="1"/>
  <c r="C150" i="44" s="1"/>
  <c r="C151" i="44" s="1"/>
  <c r="C152" i="44" s="1"/>
  <c r="C153" i="44" s="1"/>
  <c r="C154" i="44" s="1"/>
  <c r="O99" i="44"/>
  <c r="C99" i="44"/>
  <c r="D96" i="44"/>
  <c r="L93" i="44"/>
  <c r="J93" i="44"/>
  <c r="D91" i="44"/>
  <c r="D89" i="44"/>
  <c r="N72" i="44"/>
  <c r="L72" i="44"/>
  <c r="N71" i="44"/>
  <c r="L71" i="44"/>
  <c r="N70" i="44"/>
  <c r="L70" i="44"/>
  <c r="N69" i="44"/>
  <c r="L69" i="44"/>
  <c r="N68" i="44"/>
  <c r="L68" i="44"/>
  <c r="N67" i="44"/>
  <c r="L67" i="44"/>
  <c r="N66" i="44"/>
  <c r="L66" i="44"/>
  <c r="N65" i="44"/>
  <c r="L65" i="44"/>
  <c r="N64" i="44"/>
  <c r="L64" i="44"/>
  <c r="N63" i="44"/>
  <c r="L63" i="44"/>
  <c r="N62" i="44"/>
  <c r="L62" i="44"/>
  <c r="N61" i="44"/>
  <c r="L61" i="44"/>
  <c r="N60" i="44"/>
  <c r="L60" i="44"/>
  <c r="N59" i="44"/>
  <c r="L59" i="44"/>
  <c r="N58" i="44"/>
  <c r="L58" i="44"/>
  <c r="N57" i="44"/>
  <c r="L57" i="44"/>
  <c r="N56" i="44"/>
  <c r="L56" i="44"/>
  <c r="N55" i="44"/>
  <c r="L55" i="44"/>
  <c r="N54" i="44"/>
  <c r="L54" i="44"/>
  <c r="N53" i="44"/>
  <c r="L53" i="44"/>
  <c r="N52" i="44"/>
  <c r="L52" i="44"/>
  <c r="N51" i="44"/>
  <c r="L51" i="44"/>
  <c r="N50" i="44"/>
  <c r="L50" i="44"/>
  <c r="N49" i="44"/>
  <c r="L49" i="44"/>
  <c r="N48" i="44"/>
  <c r="L48" i="44"/>
  <c r="N47" i="44"/>
  <c r="L47" i="44"/>
  <c r="N46" i="44"/>
  <c r="L46" i="44"/>
  <c r="N45" i="44"/>
  <c r="L45" i="44"/>
  <c r="N44" i="44"/>
  <c r="L44" i="44"/>
  <c r="N43" i="44"/>
  <c r="L43" i="44"/>
  <c r="N42" i="44"/>
  <c r="L42" i="44"/>
  <c r="N41" i="44"/>
  <c r="L41" i="44"/>
  <c r="N40" i="44"/>
  <c r="L40" i="44"/>
  <c r="N39" i="44"/>
  <c r="L39" i="44"/>
  <c r="N38" i="44"/>
  <c r="L38" i="44"/>
  <c r="N37" i="44"/>
  <c r="L37" i="44"/>
  <c r="N36" i="44"/>
  <c r="L36" i="44"/>
  <c r="N35" i="44"/>
  <c r="L35" i="44"/>
  <c r="N34" i="44"/>
  <c r="L34" i="44"/>
  <c r="N33" i="44"/>
  <c r="L33" i="44"/>
  <c r="N32" i="44"/>
  <c r="L32" i="44"/>
  <c r="N31" i="44"/>
  <c r="L31" i="44"/>
  <c r="N30" i="44"/>
  <c r="L30" i="44"/>
  <c r="N29" i="44"/>
  <c r="L29" i="44"/>
  <c r="N28" i="44"/>
  <c r="L28" i="44"/>
  <c r="N27" i="44"/>
  <c r="L27" i="44"/>
  <c r="N26" i="44"/>
  <c r="L26" i="44"/>
  <c r="N25" i="44"/>
  <c r="L25" i="44"/>
  <c r="N24" i="44"/>
  <c r="L24" i="44"/>
  <c r="N23" i="44"/>
  <c r="L23" i="44"/>
  <c r="N22" i="44"/>
  <c r="L22" i="44"/>
  <c r="N21" i="44"/>
  <c r="L21" i="44"/>
  <c r="N20" i="44"/>
  <c r="L20" i="44"/>
  <c r="N19" i="44"/>
  <c r="N18" i="44"/>
  <c r="N17" i="44"/>
  <c r="C17" i="44"/>
  <c r="C18" i="44" s="1"/>
  <c r="C19" i="44" s="1"/>
  <c r="C20" i="44" s="1"/>
  <c r="C21" i="44" s="1"/>
  <c r="C22" i="44" s="1"/>
  <c r="C23" i="44" s="1"/>
  <c r="C24" i="44" s="1"/>
  <c r="C25" i="44" s="1"/>
  <c r="C26" i="44" s="1"/>
  <c r="C27" i="44" s="1"/>
  <c r="C28" i="44" s="1"/>
  <c r="C29" i="44" s="1"/>
  <c r="C30" i="44" s="1"/>
  <c r="C31" i="44" s="1"/>
  <c r="C32" i="44" s="1"/>
  <c r="C33" i="44" s="1"/>
  <c r="C34" i="44" s="1"/>
  <c r="C35" i="44" s="1"/>
  <c r="C36" i="44" s="1"/>
  <c r="C37" i="44" s="1"/>
  <c r="C38" i="44" s="1"/>
  <c r="C39" i="44" s="1"/>
  <c r="C40" i="44" s="1"/>
  <c r="C41" i="44" s="1"/>
  <c r="C42" i="44" s="1"/>
  <c r="C43" i="44" s="1"/>
  <c r="C44" i="44" s="1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61" i="44" s="1"/>
  <c r="C62" i="44" s="1"/>
  <c r="C63" i="44" s="1"/>
  <c r="C64" i="44" s="1"/>
  <c r="C65" i="44" s="1"/>
  <c r="C66" i="44" s="1"/>
  <c r="C67" i="44" s="1"/>
  <c r="C68" i="44" s="1"/>
  <c r="C69" i="44" s="1"/>
  <c r="C70" i="44" s="1"/>
  <c r="C71" i="44" s="1"/>
  <c r="C72" i="44" s="1"/>
  <c r="K11" i="44"/>
  <c r="I11" i="44"/>
  <c r="D90" i="44"/>
  <c r="P1" i="44"/>
  <c r="P83" i="44" s="1"/>
  <c r="P154" i="43"/>
  <c r="O154" i="43"/>
  <c r="M154" i="43"/>
  <c r="J154" i="43"/>
  <c r="P153" i="43"/>
  <c r="O153" i="43"/>
  <c r="M153" i="43"/>
  <c r="J153" i="43"/>
  <c r="P152" i="43"/>
  <c r="O152" i="43"/>
  <c r="M152" i="43"/>
  <c r="J152" i="43"/>
  <c r="P151" i="43"/>
  <c r="O151" i="43"/>
  <c r="M151" i="43"/>
  <c r="J151" i="43"/>
  <c r="P150" i="43"/>
  <c r="O150" i="43"/>
  <c r="M150" i="43"/>
  <c r="J150" i="43"/>
  <c r="P149" i="43"/>
  <c r="O149" i="43"/>
  <c r="M149" i="43"/>
  <c r="J149" i="43"/>
  <c r="P148" i="43"/>
  <c r="O148" i="43"/>
  <c r="M148" i="43"/>
  <c r="J148" i="43"/>
  <c r="P147" i="43"/>
  <c r="O147" i="43"/>
  <c r="M147" i="43"/>
  <c r="J147" i="43"/>
  <c r="P146" i="43"/>
  <c r="O146" i="43"/>
  <c r="M146" i="43"/>
  <c r="J146" i="43"/>
  <c r="P145" i="43"/>
  <c r="O145" i="43"/>
  <c r="M145" i="43"/>
  <c r="J145" i="43"/>
  <c r="P144" i="43"/>
  <c r="O144" i="43"/>
  <c r="M144" i="43"/>
  <c r="J144" i="43"/>
  <c r="P143" i="43"/>
  <c r="O143" i="43"/>
  <c r="M143" i="43"/>
  <c r="J143" i="43"/>
  <c r="P142" i="43"/>
  <c r="O142" i="43"/>
  <c r="M142" i="43"/>
  <c r="J142" i="43"/>
  <c r="P141" i="43"/>
  <c r="O141" i="43"/>
  <c r="M141" i="43"/>
  <c r="J141" i="43"/>
  <c r="P140" i="43"/>
  <c r="O140" i="43"/>
  <c r="M140" i="43"/>
  <c r="J140" i="43"/>
  <c r="P139" i="43"/>
  <c r="O139" i="43"/>
  <c r="M139" i="43"/>
  <c r="J139" i="43"/>
  <c r="P138" i="43"/>
  <c r="O138" i="43"/>
  <c r="M138" i="43"/>
  <c r="J138" i="43"/>
  <c r="P137" i="43"/>
  <c r="O137" i="43"/>
  <c r="M137" i="43"/>
  <c r="J137" i="43"/>
  <c r="P136" i="43"/>
  <c r="O136" i="43"/>
  <c r="M136" i="43"/>
  <c r="J136" i="43"/>
  <c r="P135" i="43"/>
  <c r="O135" i="43"/>
  <c r="M135" i="43"/>
  <c r="J135" i="43"/>
  <c r="P134" i="43"/>
  <c r="O134" i="43"/>
  <c r="M134" i="43"/>
  <c r="J134" i="43"/>
  <c r="P133" i="43"/>
  <c r="O133" i="43"/>
  <c r="M133" i="43"/>
  <c r="J133" i="43"/>
  <c r="P132" i="43"/>
  <c r="O132" i="43"/>
  <c r="M132" i="43"/>
  <c r="J132" i="43"/>
  <c r="P131" i="43"/>
  <c r="O131" i="43"/>
  <c r="M131" i="43"/>
  <c r="J131" i="43"/>
  <c r="O130" i="43"/>
  <c r="M130" i="43"/>
  <c r="O129" i="43"/>
  <c r="M129" i="43"/>
  <c r="O128" i="43"/>
  <c r="M128" i="43"/>
  <c r="O127" i="43"/>
  <c r="M127" i="43"/>
  <c r="O126" i="43"/>
  <c r="M126" i="43"/>
  <c r="O125" i="43"/>
  <c r="M125" i="43"/>
  <c r="O124" i="43"/>
  <c r="M124" i="43"/>
  <c r="O123" i="43"/>
  <c r="M123" i="43"/>
  <c r="O122" i="43"/>
  <c r="M122" i="43"/>
  <c r="O121" i="43"/>
  <c r="M121" i="43"/>
  <c r="O120" i="43"/>
  <c r="M120" i="43"/>
  <c r="O119" i="43"/>
  <c r="M119" i="43"/>
  <c r="O118" i="43"/>
  <c r="M118" i="43"/>
  <c r="O117" i="43"/>
  <c r="M117" i="43"/>
  <c r="O116" i="43"/>
  <c r="M116" i="43"/>
  <c r="O115" i="43"/>
  <c r="M115" i="43"/>
  <c r="O114" i="43"/>
  <c r="M114" i="43"/>
  <c r="O113" i="43"/>
  <c r="M113" i="43"/>
  <c r="O112" i="43"/>
  <c r="M112" i="43"/>
  <c r="O111" i="43"/>
  <c r="M111" i="43"/>
  <c r="O110" i="43"/>
  <c r="M110" i="43"/>
  <c r="O109" i="43"/>
  <c r="M109" i="43"/>
  <c r="O108" i="43"/>
  <c r="M108" i="43"/>
  <c r="O107" i="43"/>
  <c r="M107" i="43"/>
  <c r="O106" i="43"/>
  <c r="M106" i="43"/>
  <c r="O105" i="43"/>
  <c r="M105" i="43"/>
  <c r="O104" i="43"/>
  <c r="M104" i="43"/>
  <c r="O103" i="43"/>
  <c r="M103" i="43"/>
  <c r="O102" i="43"/>
  <c r="M102" i="43"/>
  <c r="O101" i="43"/>
  <c r="O100" i="43"/>
  <c r="C99" i="43"/>
  <c r="D96" i="43"/>
  <c r="L93" i="43"/>
  <c r="J93" i="43"/>
  <c r="D91" i="43"/>
  <c r="D89" i="43"/>
  <c r="N72" i="43"/>
  <c r="L72" i="43"/>
  <c r="N71" i="43"/>
  <c r="L71" i="43"/>
  <c r="N70" i="43"/>
  <c r="L70" i="43"/>
  <c r="N69" i="43"/>
  <c r="L69" i="43"/>
  <c r="N68" i="43"/>
  <c r="L68" i="43"/>
  <c r="N67" i="43"/>
  <c r="L67" i="43"/>
  <c r="N66" i="43"/>
  <c r="L66" i="43"/>
  <c r="N65" i="43"/>
  <c r="L65" i="43"/>
  <c r="N64" i="43"/>
  <c r="L64" i="43"/>
  <c r="N63" i="43"/>
  <c r="L63" i="43"/>
  <c r="N62" i="43"/>
  <c r="L62" i="43"/>
  <c r="N61" i="43"/>
  <c r="L61" i="43"/>
  <c r="N60" i="43"/>
  <c r="L60" i="43"/>
  <c r="N59" i="43"/>
  <c r="L59" i="43"/>
  <c r="N58" i="43"/>
  <c r="L58" i="43"/>
  <c r="N57" i="43"/>
  <c r="L57" i="43"/>
  <c r="N56" i="43"/>
  <c r="L56" i="43"/>
  <c r="N55" i="43"/>
  <c r="L55" i="43"/>
  <c r="N54" i="43"/>
  <c r="L54" i="43"/>
  <c r="N53" i="43"/>
  <c r="L53" i="43"/>
  <c r="N52" i="43"/>
  <c r="L52" i="43"/>
  <c r="N51" i="43"/>
  <c r="L51" i="43"/>
  <c r="N50" i="43"/>
  <c r="L50" i="43"/>
  <c r="N49" i="43"/>
  <c r="L49" i="43"/>
  <c r="N48" i="43"/>
  <c r="L48" i="43"/>
  <c r="N47" i="43"/>
  <c r="L47" i="43"/>
  <c r="N46" i="43"/>
  <c r="L46" i="43"/>
  <c r="N45" i="43"/>
  <c r="L45" i="43"/>
  <c r="N44" i="43"/>
  <c r="L44" i="43"/>
  <c r="N43" i="43"/>
  <c r="L43" i="43"/>
  <c r="N42" i="43"/>
  <c r="L42" i="43"/>
  <c r="N41" i="43"/>
  <c r="L41" i="43"/>
  <c r="N40" i="43"/>
  <c r="L40" i="43"/>
  <c r="N39" i="43"/>
  <c r="L39" i="43"/>
  <c r="N38" i="43"/>
  <c r="L38" i="43"/>
  <c r="N37" i="43"/>
  <c r="L37" i="43"/>
  <c r="N36" i="43"/>
  <c r="L36" i="43"/>
  <c r="N35" i="43"/>
  <c r="L35" i="43"/>
  <c r="N34" i="43"/>
  <c r="L34" i="43"/>
  <c r="N33" i="43"/>
  <c r="L33" i="43"/>
  <c r="N32" i="43"/>
  <c r="L32" i="43"/>
  <c r="N31" i="43"/>
  <c r="L31" i="43"/>
  <c r="N30" i="43"/>
  <c r="L30" i="43"/>
  <c r="N29" i="43"/>
  <c r="L29" i="43"/>
  <c r="N28" i="43"/>
  <c r="L28" i="43"/>
  <c r="N27" i="43"/>
  <c r="L27" i="43"/>
  <c r="N26" i="43"/>
  <c r="L26" i="43"/>
  <c r="N25" i="43"/>
  <c r="L25" i="43"/>
  <c r="N24" i="43"/>
  <c r="L24" i="43"/>
  <c r="N23" i="43"/>
  <c r="L23" i="43"/>
  <c r="N22" i="43"/>
  <c r="L22" i="43"/>
  <c r="N21" i="43"/>
  <c r="L21" i="43"/>
  <c r="N20" i="43"/>
  <c r="N19" i="43"/>
  <c r="N18" i="43"/>
  <c r="N17" i="43"/>
  <c r="L17" i="43"/>
  <c r="C17" i="43"/>
  <c r="K11" i="43"/>
  <c r="I11" i="43"/>
  <c r="D8" i="43"/>
  <c r="D90" i="43" s="1"/>
  <c r="P1" i="43"/>
  <c r="P83" i="43" s="1"/>
  <c r="M17" i="42"/>
  <c r="N17" i="42" s="1"/>
  <c r="K17" i="42"/>
  <c r="L17" i="42" s="1"/>
  <c r="M17" i="41"/>
  <c r="N17" i="41" s="1"/>
  <c r="K17" i="41"/>
  <c r="L17" i="41" s="1"/>
  <c r="M17" i="40"/>
  <c r="N17" i="40" s="1"/>
  <c r="O17" i="40" s="1"/>
  <c r="K17" i="40"/>
  <c r="L17" i="40" s="1"/>
  <c r="N99" i="39"/>
  <c r="L99" i="39"/>
  <c r="M18" i="39"/>
  <c r="K18" i="39"/>
  <c r="L18" i="39" s="1"/>
  <c r="O18" i="39" s="1"/>
  <c r="N99" i="38"/>
  <c r="L99" i="38"/>
  <c r="M18" i="38"/>
  <c r="K18" i="38"/>
  <c r="L18" i="38" s="1"/>
  <c r="N99" i="37"/>
  <c r="L99" i="37"/>
  <c r="M18" i="37"/>
  <c r="N18" i="37" s="1"/>
  <c r="K18" i="37"/>
  <c r="L18" i="37" s="1"/>
  <c r="N102" i="31"/>
  <c r="O102" i="31" s="1"/>
  <c r="P102" i="31"/>
  <c r="L102" i="31"/>
  <c r="M102" i="31" s="1"/>
  <c r="M21" i="31"/>
  <c r="N21" i="31" s="1"/>
  <c r="K21" i="31"/>
  <c r="L21" i="31" s="1"/>
  <c r="N101" i="30"/>
  <c r="O101" i="30" s="1"/>
  <c r="L101" i="30"/>
  <c r="M101" i="30" s="1"/>
  <c r="M20" i="30"/>
  <c r="N20" i="30" s="1"/>
  <c r="K20" i="30"/>
  <c r="N102" i="29"/>
  <c r="O102" i="29" s="1"/>
  <c r="P102" i="29"/>
  <c r="L102" i="29"/>
  <c r="M102" i="29" s="1"/>
  <c r="M21" i="29"/>
  <c r="N21" i="29" s="1"/>
  <c r="L21" i="29"/>
  <c r="K21" i="29"/>
  <c r="N102" i="28"/>
  <c r="O102" i="28" s="1"/>
  <c r="P102" i="28" s="1"/>
  <c r="L102" i="28"/>
  <c r="M102" i="28" s="1"/>
  <c r="M21" i="28"/>
  <c r="N21" i="28" s="1"/>
  <c r="K21" i="28"/>
  <c r="L21" i="28" s="1"/>
  <c r="N103" i="27"/>
  <c r="O103" i="27"/>
  <c r="P103" i="27" s="1"/>
  <c r="M103" i="27"/>
  <c r="L103" i="27"/>
  <c r="M22" i="27"/>
  <c r="N22" i="27" s="1"/>
  <c r="K22" i="27"/>
  <c r="L22" i="27" s="1"/>
  <c r="N106" i="25"/>
  <c r="O106" i="25" s="1"/>
  <c r="M106" i="25"/>
  <c r="P106" i="25" s="1"/>
  <c r="L106" i="25"/>
  <c r="M25" i="25"/>
  <c r="N25" i="25" s="1"/>
  <c r="K25" i="25"/>
  <c r="L25" i="25" s="1"/>
  <c r="N104" i="24"/>
  <c r="O104" i="24"/>
  <c r="P104" i="24" s="1"/>
  <c r="M104" i="24"/>
  <c r="L104" i="24"/>
  <c r="M23" i="24"/>
  <c r="N23" i="24" s="1"/>
  <c r="K23" i="24"/>
  <c r="L23" i="24" s="1"/>
  <c r="N105" i="23"/>
  <c r="O105" i="23"/>
  <c r="M105" i="23"/>
  <c r="L105" i="23"/>
  <c r="M24" i="23"/>
  <c r="N24" i="23" s="1"/>
  <c r="K24" i="23"/>
  <c r="L24" i="23" s="1"/>
  <c r="N106" i="22"/>
  <c r="O106" i="22"/>
  <c r="P106" i="22" s="1"/>
  <c r="M106" i="22"/>
  <c r="L106" i="22"/>
  <c r="M25" i="22"/>
  <c r="N25" i="22" s="1"/>
  <c r="O25" i="22" s="1"/>
  <c r="K25" i="22"/>
  <c r="L25" i="22" s="1"/>
  <c r="N109" i="11"/>
  <c r="O109" i="11"/>
  <c r="M109" i="11"/>
  <c r="L109" i="11"/>
  <c r="M28" i="11"/>
  <c r="N28" i="11" s="1"/>
  <c r="K28" i="11"/>
  <c r="L28" i="11" s="1"/>
  <c r="N110" i="10"/>
  <c r="O110" i="10"/>
  <c r="P110" i="10" s="1"/>
  <c r="M110" i="10"/>
  <c r="L110" i="10"/>
  <c r="M29" i="10"/>
  <c r="N29" i="10" s="1"/>
  <c r="K29" i="10"/>
  <c r="L29" i="10" s="1"/>
  <c r="N109" i="9"/>
  <c r="O109" i="9"/>
  <c r="M109" i="9"/>
  <c r="L109" i="9"/>
  <c r="M28" i="9"/>
  <c r="N28" i="9" s="1"/>
  <c r="K28" i="9"/>
  <c r="L28" i="9" s="1"/>
  <c r="N108" i="8"/>
  <c r="O108" i="8"/>
  <c r="P108" i="8" s="1"/>
  <c r="M108" i="8"/>
  <c r="L108" i="8"/>
  <c r="M27" i="8"/>
  <c r="N27" i="8" s="1"/>
  <c r="O27" i="8" s="1"/>
  <c r="K27" i="8"/>
  <c r="L27" i="8" s="1"/>
  <c r="N110" i="7"/>
  <c r="O110" i="7"/>
  <c r="M110" i="7"/>
  <c r="L110" i="7"/>
  <c r="M29" i="7"/>
  <c r="N29" i="7" s="1"/>
  <c r="K29" i="7"/>
  <c r="L29" i="7" s="1"/>
  <c r="N108" i="6"/>
  <c r="O108" i="6"/>
  <c r="M108" i="6"/>
  <c r="L108" i="6"/>
  <c r="M27" i="6"/>
  <c r="N27" i="6" s="1"/>
  <c r="K27" i="6"/>
  <c r="L27" i="6" s="1"/>
  <c r="N107" i="5"/>
  <c r="O107" i="5"/>
  <c r="P107" i="5" s="1"/>
  <c r="M107" i="5"/>
  <c r="L107" i="5"/>
  <c r="M26" i="5"/>
  <c r="N26" i="5" s="1"/>
  <c r="K26" i="5"/>
  <c r="L26" i="5" s="1"/>
  <c r="N107" i="4"/>
  <c r="O107" i="4" s="1"/>
  <c r="L107" i="4"/>
  <c r="M107" i="4" s="1"/>
  <c r="M26" i="4"/>
  <c r="N26" i="4" s="1"/>
  <c r="K26" i="4"/>
  <c r="L26" i="4" s="1"/>
  <c r="N107" i="3"/>
  <c r="O107" i="3"/>
  <c r="P107" i="3" s="1"/>
  <c r="M107" i="3"/>
  <c r="L107" i="3"/>
  <c r="M26" i="3"/>
  <c r="N26" i="3" s="1"/>
  <c r="K26" i="3"/>
  <c r="L26" i="3" s="1"/>
  <c r="D92" i="6"/>
  <c r="T14" i="17"/>
  <c r="M26" i="6"/>
  <c r="N26" i="6" s="1"/>
  <c r="L26" i="6"/>
  <c r="K26" i="6"/>
  <c r="M17" i="38"/>
  <c r="K17" i="38"/>
  <c r="L17" i="38"/>
  <c r="M17" i="39"/>
  <c r="K17" i="39"/>
  <c r="N101" i="31"/>
  <c r="O101" i="31" s="1"/>
  <c r="P101" i="31" s="1"/>
  <c r="L101" i="31"/>
  <c r="M101" i="31" s="1"/>
  <c r="M20" i="31"/>
  <c r="N20" i="31"/>
  <c r="K20" i="31"/>
  <c r="M17" i="37"/>
  <c r="N17" i="37" s="1"/>
  <c r="K17" i="37"/>
  <c r="L17" i="37" s="1"/>
  <c r="W41" i="17"/>
  <c r="P41" i="17"/>
  <c r="W40" i="17"/>
  <c r="P40" i="17"/>
  <c r="M19" i="30"/>
  <c r="N19" i="30" s="1"/>
  <c r="O19" i="30" s="1"/>
  <c r="K19" i="30"/>
  <c r="L19" i="30" s="1"/>
  <c r="N100" i="30"/>
  <c r="O100" i="30" s="1"/>
  <c r="L100" i="30"/>
  <c r="M100" i="30" s="1"/>
  <c r="O20" i="29"/>
  <c r="M20" i="29"/>
  <c r="N20" i="29"/>
  <c r="K20" i="29"/>
  <c r="L20" i="29" s="1"/>
  <c r="N101" i="29"/>
  <c r="O101" i="29"/>
  <c r="L101" i="29"/>
  <c r="M101" i="29"/>
  <c r="N101" i="28"/>
  <c r="O101" i="28"/>
  <c r="L101" i="28"/>
  <c r="M101" i="28" s="1"/>
  <c r="M20" i="28"/>
  <c r="N20" i="28" s="1"/>
  <c r="K20" i="28"/>
  <c r="L20" i="28" s="1"/>
  <c r="N102" i="27"/>
  <c r="O102" i="27" s="1"/>
  <c r="M102" i="27"/>
  <c r="L102" i="27"/>
  <c r="M21" i="27"/>
  <c r="N21" i="27" s="1"/>
  <c r="O21" i="27" s="1"/>
  <c r="K21" i="27"/>
  <c r="L21" i="27"/>
  <c r="N105" i="25"/>
  <c r="O105" i="25"/>
  <c r="M105" i="25"/>
  <c r="L105" i="25"/>
  <c r="M24" i="25"/>
  <c r="N24" i="25" s="1"/>
  <c r="K24" i="25"/>
  <c r="L24" i="25" s="1"/>
  <c r="N103" i="24"/>
  <c r="O103" i="24" s="1"/>
  <c r="L103" i="24"/>
  <c r="M103" i="24" s="1"/>
  <c r="M22" i="24"/>
  <c r="N22" i="24" s="1"/>
  <c r="O22" i="24" s="1"/>
  <c r="K22" i="24"/>
  <c r="L22" i="24" s="1"/>
  <c r="N104" i="23"/>
  <c r="O104" i="23"/>
  <c r="P104" i="23" s="1"/>
  <c r="L104" i="23"/>
  <c r="M104" i="23"/>
  <c r="M23" i="23"/>
  <c r="N23" i="23" s="1"/>
  <c r="K23" i="23"/>
  <c r="L23" i="23" s="1"/>
  <c r="N105" i="22"/>
  <c r="O105" i="22" s="1"/>
  <c r="L105" i="22"/>
  <c r="M105" i="22"/>
  <c r="M24" i="22"/>
  <c r="N24" i="22" s="1"/>
  <c r="O24" i="22" s="1"/>
  <c r="K24" i="22"/>
  <c r="L24" i="22" s="1"/>
  <c r="N108" i="11"/>
  <c r="O108" i="11"/>
  <c r="L108" i="11"/>
  <c r="M108" i="11" s="1"/>
  <c r="P108" i="11" s="1"/>
  <c r="M27" i="11"/>
  <c r="N27" i="11"/>
  <c r="L27" i="11"/>
  <c r="K27" i="11"/>
  <c r="N109" i="10"/>
  <c r="O109" i="10"/>
  <c r="M109" i="10"/>
  <c r="L109" i="10"/>
  <c r="M28" i="10"/>
  <c r="N28" i="10"/>
  <c r="O28" i="10"/>
  <c r="K28" i="10"/>
  <c r="L28" i="10" s="1"/>
  <c r="N108" i="9"/>
  <c r="O108" i="9"/>
  <c r="P108" i="9" s="1"/>
  <c r="L108" i="9"/>
  <c r="M108" i="9"/>
  <c r="M27" i="9"/>
  <c r="N27" i="9" s="1"/>
  <c r="K27" i="9"/>
  <c r="L27" i="9" s="1"/>
  <c r="N107" i="8"/>
  <c r="O107" i="8" s="1"/>
  <c r="L107" i="8"/>
  <c r="M107" i="8"/>
  <c r="M26" i="8"/>
  <c r="N26" i="8" s="1"/>
  <c r="K26" i="8"/>
  <c r="L26" i="8" s="1"/>
  <c r="N109" i="7"/>
  <c r="O109" i="7" s="1"/>
  <c r="P109" i="7" s="1"/>
  <c r="L109" i="7"/>
  <c r="M109" i="7" s="1"/>
  <c r="M28" i="7"/>
  <c r="N28" i="7" s="1"/>
  <c r="K28" i="7"/>
  <c r="L28" i="7" s="1"/>
  <c r="N107" i="6"/>
  <c r="O107" i="6"/>
  <c r="L107" i="6"/>
  <c r="M107" i="6" s="1"/>
  <c r="N106" i="5"/>
  <c r="O106" i="5" s="1"/>
  <c r="P106" i="5" s="1"/>
  <c r="L106" i="5"/>
  <c r="M106" i="5"/>
  <c r="M25" i="5"/>
  <c r="N25" i="5" s="1"/>
  <c r="O25" i="5" s="1"/>
  <c r="L25" i="5"/>
  <c r="K25" i="5"/>
  <c r="N106" i="4"/>
  <c r="O106" i="4"/>
  <c r="P106" i="4"/>
  <c r="L106" i="4"/>
  <c r="M106" i="4"/>
  <c r="M25" i="4"/>
  <c r="N25" i="4"/>
  <c r="O25" i="4" s="1"/>
  <c r="K25" i="4"/>
  <c r="L25" i="4" s="1"/>
  <c r="N106" i="3"/>
  <c r="O106" i="3" s="1"/>
  <c r="L106" i="3"/>
  <c r="M106" i="3" s="1"/>
  <c r="M25" i="3"/>
  <c r="N25" i="3" s="1"/>
  <c r="O25" i="3" s="1"/>
  <c r="L25" i="3"/>
  <c r="K25" i="3"/>
  <c r="P154" i="42"/>
  <c r="O154" i="42"/>
  <c r="M154" i="42"/>
  <c r="J154" i="42"/>
  <c r="P153" i="42"/>
  <c r="O153" i="42"/>
  <c r="M153" i="42"/>
  <c r="J153" i="42"/>
  <c r="P152" i="42"/>
  <c r="O152" i="42"/>
  <c r="M152" i="42"/>
  <c r="J152" i="42"/>
  <c r="P151" i="42"/>
  <c r="O151" i="42"/>
  <c r="M151" i="42"/>
  <c r="J151" i="42"/>
  <c r="P150" i="42"/>
  <c r="O150" i="42"/>
  <c r="M150" i="42"/>
  <c r="J150" i="42"/>
  <c r="P149" i="42"/>
  <c r="O149" i="42"/>
  <c r="M149" i="42"/>
  <c r="J149" i="42"/>
  <c r="P148" i="42"/>
  <c r="O148" i="42"/>
  <c r="M148" i="42"/>
  <c r="J148" i="42"/>
  <c r="P147" i="42"/>
  <c r="O147" i="42"/>
  <c r="M147" i="42"/>
  <c r="J147" i="42"/>
  <c r="P146" i="42"/>
  <c r="O146" i="42"/>
  <c r="M146" i="42"/>
  <c r="J146" i="42"/>
  <c r="P145" i="42"/>
  <c r="O145" i="42"/>
  <c r="M145" i="42"/>
  <c r="J145" i="42"/>
  <c r="P144" i="42"/>
  <c r="O144" i="42"/>
  <c r="M144" i="42"/>
  <c r="J144" i="42"/>
  <c r="P143" i="42"/>
  <c r="O143" i="42"/>
  <c r="M143" i="42"/>
  <c r="J143" i="42"/>
  <c r="P142" i="42"/>
  <c r="O142" i="42"/>
  <c r="M142" i="42"/>
  <c r="J142" i="42"/>
  <c r="P141" i="42"/>
  <c r="O141" i="42"/>
  <c r="M141" i="42"/>
  <c r="J141" i="42"/>
  <c r="P140" i="42"/>
  <c r="O140" i="42"/>
  <c r="M140" i="42"/>
  <c r="J140" i="42"/>
  <c r="P139" i="42"/>
  <c r="O139" i="42"/>
  <c r="M139" i="42"/>
  <c r="J139" i="42"/>
  <c r="P138" i="42"/>
  <c r="O138" i="42"/>
  <c r="M138" i="42"/>
  <c r="J138" i="42"/>
  <c r="P137" i="42"/>
  <c r="O137" i="42"/>
  <c r="M137" i="42"/>
  <c r="J137" i="42"/>
  <c r="P136" i="42"/>
  <c r="O136" i="42"/>
  <c r="M136" i="42"/>
  <c r="J136" i="42"/>
  <c r="P135" i="42"/>
  <c r="O135" i="42"/>
  <c r="M135" i="42"/>
  <c r="J135" i="42"/>
  <c r="P134" i="42"/>
  <c r="O134" i="42"/>
  <c r="M134" i="42"/>
  <c r="J134" i="42"/>
  <c r="P133" i="42"/>
  <c r="O133" i="42"/>
  <c r="M133" i="42"/>
  <c r="J133" i="42"/>
  <c r="P132" i="42"/>
  <c r="O132" i="42"/>
  <c r="M132" i="42"/>
  <c r="J132" i="42"/>
  <c r="P131" i="42"/>
  <c r="O131" i="42"/>
  <c r="M131" i="42"/>
  <c r="J131" i="42"/>
  <c r="O130" i="42"/>
  <c r="M130" i="42"/>
  <c r="O129" i="42"/>
  <c r="M129" i="42"/>
  <c r="O128" i="42"/>
  <c r="M128" i="42"/>
  <c r="O127" i="42"/>
  <c r="M127" i="42"/>
  <c r="O126" i="42"/>
  <c r="M126" i="42"/>
  <c r="O125" i="42"/>
  <c r="M125" i="42"/>
  <c r="O124" i="42"/>
  <c r="M124" i="42"/>
  <c r="O123" i="42"/>
  <c r="M123" i="42"/>
  <c r="O122" i="42"/>
  <c r="M122" i="42"/>
  <c r="O121" i="42"/>
  <c r="M121" i="42"/>
  <c r="O120" i="42"/>
  <c r="M120" i="42"/>
  <c r="O119" i="42"/>
  <c r="M119" i="42"/>
  <c r="O118" i="42"/>
  <c r="M118" i="42"/>
  <c r="O117" i="42"/>
  <c r="M117" i="42"/>
  <c r="O116" i="42"/>
  <c r="M116" i="42"/>
  <c r="O115" i="42"/>
  <c r="M115" i="42"/>
  <c r="O114" i="42"/>
  <c r="M114" i="42"/>
  <c r="O113" i="42"/>
  <c r="M113" i="42"/>
  <c r="O112" i="42"/>
  <c r="M112" i="42"/>
  <c r="O111" i="42"/>
  <c r="M111" i="42"/>
  <c r="O110" i="42"/>
  <c r="M110" i="42"/>
  <c r="O109" i="42"/>
  <c r="M109" i="42"/>
  <c r="O108" i="42"/>
  <c r="M108" i="42"/>
  <c r="O107" i="42"/>
  <c r="M107" i="42"/>
  <c r="O106" i="42"/>
  <c r="M106" i="42"/>
  <c r="O105" i="42"/>
  <c r="M105" i="42"/>
  <c r="O104" i="42"/>
  <c r="M104" i="42"/>
  <c r="O103" i="42"/>
  <c r="M103" i="42"/>
  <c r="O102" i="42"/>
  <c r="M102" i="42"/>
  <c r="O101" i="42"/>
  <c r="O100" i="42"/>
  <c r="C99" i="42"/>
  <c r="D96" i="42"/>
  <c r="L93" i="42"/>
  <c r="J93" i="42"/>
  <c r="D91" i="42"/>
  <c r="D89" i="42"/>
  <c r="N72" i="42"/>
  <c r="L72" i="42"/>
  <c r="N71" i="42"/>
  <c r="L71" i="42"/>
  <c r="N70" i="42"/>
  <c r="L70" i="42"/>
  <c r="N69" i="42"/>
  <c r="L69" i="42"/>
  <c r="N68" i="42"/>
  <c r="L68" i="42"/>
  <c r="N67" i="42"/>
  <c r="L67" i="42"/>
  <c r="N66" i="42"/>
  <c r="L66" i="42"/>
  <c r="N65" i="42"/>
  <c r="L65" i="42"/>
  <c r="N64" i="42"/>
  <c r="L64" i="42"/>
  <c r="N63" i="42"/>
  <c r="L63" i="42"/>
  <c r="N62" i="42"/>
  <c r="L62" i="42"/>
  <c r="N61" i="42"/>
  <c r="L61" i="42"/>
  <c r="N60" i="42"/>
  <c r="L60" i="42"/>
  <c r="N59" i="42"/>
  <c r="L59" i="42"/>
  <c r="N58" i="42"/>
  <c r="L58" i="42"/>
  <c r="N57" i="42"/>
  <c r="L57" i="42"/>
  <c r="N56" i="42"/>
  <c r="L56" i="42"/>
  <c r="N55" i="42"/>
  <c r="L55" i="42"/>
  <c r="N54" i="42"/>
  <c r="L54" i="42"/>
  <c r="N53" i="42"/>
  <c r="L53" i="42"/>
  <c r="N52" i="42"/>
  <c r="L52" i="42"/>
  <c r="N51" i="42"/>
  <c r="L51" i="42"/>
  <c r="N50" i="42"/>
  <c r="L50" i="42"/>
  <c r="N49" i="42"/>
  <c r="L49" i="42"/>
  <c r="N48" i="42"/>
  <c r="L48" i="42"/>
  <c r="N47" i="42"/>
  <c r="L47" i="42"/>
  <c r="N46" i="42"/>
  <c r="L46" i="42"/>
  <c r="N45" i="42"/>
  <c r="L45" i="42"/>
  <c r="N44" i="42"/>
  <c r="L44" i="42"/>
  <c r="N43" i="42"/>
  <c r="L43" i="42"/>
  <c r="N42" i="42"/>
  <c r="L42" i="42"/>
  <c r="N41" i="42"/>
  <c r="L41" i="42"/>
  <c r="N40" i="42"/>
  <c r="L40" i="42"/>
  <c r="N39" i="42"/>
  <c r="L39" i="42"/>
  <c r="N38" i="42"/>
  <c r="L38" i="42"/>
  <c r="N37" i="42"/>
  <c r="L37" i="42"/>
  <c r="N36" i="42"/>
  <c r="L36" i="42"/>
  <c r="N35" i="42"/>
  <c r="L35" i="42"/>
  <c r="N34" i="42"/>
  <c r="L34" i="42"/>
  <c r="N33" i="42"/>
  <c r="L33" i="42"/>
  <c r="N32" i="42"/>
  <c r="L32" i="42"/>
  <c r="N31" i="42"/>
  <c r="L31" i="42"/>
  <c r="N30" i="42"/>
  <c r="L30" i="42"/>
  <c r="N29" i="42"/>
  <c r="L29" i="42"/>
  <c r="N28" i="42"/>
  <c r="L28" i="42"/>
  <c r="N27" i="42"/>
  <c r="L27" i="42"/>
  <c r="N26" i="42"/>
  <c r="L26" i="42"/>
  <c r="N25" i="42"/>
  <c r="L25" i="42"/>
  <c r="N24" i="42"/>
  <c r="L24" i="42"/>
  <c r="N23" i="42"/>
  <c r="L23" i="42"/>
  <c r="N22" i="42"/>
  <c r="L22" i="42"/>
  <c r="N21" i="42"/>
  <c r="L21" i="42"/>
  <c r="N20" i="42"/>
  <c r="N19" i="42"/>
  <c r="N18" i="42"/>
  <c r="C17" i="42"/>
  <c r="K11" i="42"/>
  <c r="I11" i="42"/>
  <c r="D8" i="42"/>
  <c r="D90" i="42" s="1"/>
  <c r="P1" i="42"/>
  <c r="P83" i="42" s="1"/>
  <c r="P154" i="41"/>
  <c r="O154" i="41"/>
  <c r="M154" i="41"/>
  <c r="J154" i="41"/>
  <c r="P153" i="41"/>
  <c r="O153" i="41"/>
  <c r="M153" i="41"/>
  <c r="J153" i="41"/>
  <c r="P152" i="41"/>
  <c r="O152" i="41"/>
  <c r="M152" i="41"/>
  <c r="J152" i="41"/>
  <c r="P151" i="41"/>
  <c r="O151" i="41"/>
  <c r="M151" i="41"/>
  <c r="J151" i="41"/>
  <c r="P150" i="41"/>
  <c r="O150" i="41"/>
  <c r="M150" i="41"/>
  <c r="J150" i="41"/>
  <c r="P149" i="41"/>
  <c r="O149" i="41"/>
  <c r="M149" i="41"/>
  <c r="J149" i="41"/>
  <c r="P148" i="41"/>
  <c r="O148" i="41"/>
  <c r="M148" i="41"/>
  <c r="J148" i="41"/>
  <c r="P147" i="41"/>
  <c r="O147" i="41"/>
  <c r="M147" i="41"/>
  <c r="J147" i="41"/>
  <c r="P146" i="41"/>
  <c r="O146" i="41"/>
  <c r="M146" i="41"/>
  <c r="J146" i="41"/>
  <c r="P145" i="41"/>
  <c r="O145" i="41"/>
  <c r="M145" i="41"/>
  <c r="J145" i="41"/>
  <c r="P144" i="41"/>
  <c r="O144" i="41"/>
  <c r="M144" i="41"/>
  <c r="J144" i="41"/>
  <c r="P143" i="41"/>
  <c r="O143" i="41"/>
  <c r="M143" i="41"/>
  <c r="J143" i="41"/>
  <c r="P142" i="41"/>
  <c r="O142" i="41"/>
  <c r="M142" i="41"/>
  <c r="J142" i="41"/>
  <c r="P141" i="41"/>
  <c r="O141" i="41"/>
  <c r="M141" i="41"/>
  <c r="J141" i="41"/>
  <c r="P140" i="41"/>
  <c r="O140" i="41"/>
  <c r="M140" i="41"/>
  <c r="J140" i="41"/>
  <c r="P139" i="41"/>
  <c r="O139" i="41"/>
  <c r="M139" i="41"/>
  <c r="J139" i="41"/>
  <c r="P138" i="41"/>
  <c r="O138" i="41"/>
  <c r="M138" i="41"/>
  <c r="J138" i="41"/>
  <c r="P137" i="41"/>
  <c r="O137" i="41"/>
  <c r="M137" i="41"/>
  <c r="J137" i="41"/>
  <c r="P136" i="41"/>
  <c r="O136" i="41"/>
  <c r="M136" i="41"/>
  <c r="J136" i="41"/>
  <c r="P135" i="41"/>
  <c r="O135" i="41"/>
  <c r="M135" i="41"/>
  <c r="J135" i="41"/>
  <c r="P134" i="41"/>
  <c r="O134" i="41"/>
  <c r="M134" i="41"/>
  <c r="J134" i="41"/>
  <c r="P133" i="41"/>
  <c r="O133" i="41"/>
  <c r="M133" i="41"/>
  <c r="J133" i="41"/>
  <c r="P132" i="41"/>
  <c r="O132" i="41"/>
  <c r="M132" i="41"/>
  <c r="J132" i="41"/>
  <c r="P131" i="41"/>
  <c r="O131" i="41"/>
  <c r="M131" i="41"/>
  <c r="J131" i="41"/>
  <c r="O130" i="41"/>
  <c r="M130" i="41"/>
  <c r="O129" i="41"/>
  <c r="M129" i="41"/>
  <c r="O128" i="41"/>
  <c r="M128" i="41"/>
  <c r="O127" i="41"/>
  <c r="M127" i="41"/>
  <c r="O126" i="41"/>
  <c r="M126" i="41"/>
  <c r="O125" i="41"/>
  <c r="M125" i="41"/>
  <c r="O124" i="41"/>
  <c r="M124" i="41"/>
  <c r="O123" i="41"/>
  <c r="M123" i="41"/>
  <c r="O122" i="41"/>
  <c r="M122" i="41"/>
  <c r="O121" i="41"/>
  <c r="M121" i="41"/>
  <c r="O120" i="41"/>
  <c r="M120" i="41"/>
  <c r="O119" i="41"/>
  <c r="M119" i="41"/>
  <c r="O118" i="41"/>
  <c r="M118" i="41"/>
  <c r="O117" i="41"/>
  <c r="M117" i="41"/>
  <c r="O116" i="41"/>
  <c r="M116" i="41"/>
  <c r="O115" i="41"/>
  <c r="M115" i="41"/>
  <c r="O114" i="41"/>
  <c r="M114" i="41"/>
  <c r="O113" i="41"/>
  <c r="M113" i="41"/>
  <c r="O112" i="41"/>
  <c r="M112" i="41"/>
  <c r="O111" i="41"/>
  <c r="M111" i="41"/>
  <c r="O110" i="41"/>
  <c r="M110" i="41"/>
  <c r="O109" i="41"/>
  <c r="M109" i="41"/>
  <c r="O108" i="41"/>
  <c r="M108" i="41"/>
  <c r="O107" i="41"/>
  <c r="M107" i="41"/>
  <c r="O106" i="41"/>
  <c r="M106" i="41"/>
  <c r="O105" i="41"/>
  <c r="M105" i="41"/>
  <c r="O104" i="41"/>
  <c r="M104" i="41"/>
  <c r="O103" i="41"/>
  <c r="M103" i="41"/>
  <c r="O102" i="41"/>
  <c r="M102" i="41"/>
  <c r="O101" i="41"/>
  <c r="O100" i="41"/>
  <c r="C99" i="41"/>
  <c r="D96" i="41"/>
  <c r="L93" i="41"/>
  <c r="J93" i="41"/>
  <c r="D91" i="41"/>
  <c r="D89" i="41"/>
  <c r="N72" i="41"/>
  <c r="L72" i="41"/>
  <c r="N71" i="41"/>
  <c r="L71" i="41"/>
  <c r="N70" i="41"/>
  <c r="L70" i="41"/>
  <c r="N69" i="41"/>
  <c r="L69" i="41"/>
  <c r="N68" i="41"/>
  <c r="L68" i="41"/>
  <c r="N67" i="41"/>
  <c r="L67" i="41"/>
  <c r="N66" i="41"/>
  <c r="L66" i="41"/>
  <c r="N65" i="41"/>
  <c r="L65" i="41"/>
  <c r="N64" i="41"/>
  <c r="L64" i="41"/>
  <c r="N63" i="41"/>
  <c r="L63" i="41"/>
  <c r="N62" i="41"/>
  <c r="L62" i="41"/>
  <c r="N61" i="41"/>
  <c r="L61" i="41"/>
  <c r="N60" i="41"/>
  <c r="L60" i="41"/>
  <c r="N59" i="41"/>
  <c r="L59" i="41"/>
  <c r="N58" i="41"/>
  <c r="L58" i="41"/>
  <c r="N57" i="41"/>
  <c r="L57" i="41"/>
  <c r="N56" i="41"/>
  <c r="L56" i="41"/>
  <c r="N55" i="41"/>
  <c r="L55" i="41"/>
  <c r="N54" i="41"/>
  <c r="L54" i="41"/>
  <c r="N53" i="41"/>
  <c r="L53" i="41"/>
  <c r="N52" i="41"/>
  <c r="L52" i="41"/>
  <c r="N51" i="41"/>
  <c r="L51" i="41"/>
  <c r="N50" i="41"/>
  <c r="L50" i="41"/>
  <c r="N49" i="41"/>
  <c r="L49" i="41"/>
  <c r="N48" i="41"/>
  <c r="L48" i="41"/>
  <c r="N47" i="41"/>
  <c r="L47" i="41"/>
  <c r="N46" i="41"/>
  <c r="L46" i="41"/>
  <c r="N45" i="41"/>
  <c r="L45" i="41"/>
  <c r="N44" i="41"/>
  <c r="L44" i="41"/>
  <c r="N43" i="41"/>
  <c r="L43" i="41"/>
  <c r="N42" i="41"/>
  <c r="L42" i="41"/>
  <c r="N41" i="41"/>
  <c r="L41" i="41"/>
  <c r="N40" i="41"/>
  <c r="L40" i="41"/>
  <c r="N39" i="41"/>
  <c r="L39" i="41"/>
  <c r="N38" i="41"/>
  <c r="L38" i="41"/>
  <c r="N37" i="41"/>
  <c r="L37" i="41"/>
  <c r="N36" i="41"/>
  <c r="L36" i="41"/>
  <c r="N35" i="41"/>
  <c r="L35" i="41"/>
  <c r="N34" i="41"/>
  <c r="L34" i="41"/>
  <c r="N33" i="41"/>
  <c r="L33" i="41"/>
  <c r="N32" i="41"/>
  <c r="L32" i="41"/>
  <c r="N31" i="41"/>
  <c r="L31" i="41"/>
  <c r="N30" i="41"/>
  <c r="L30" i="41"/>
  <c r="N29" i="41"/>
  <c r="L29" i="41"/>
  <c r="N28" i="41"/>
  <c r="L28" i="41"/>
  <c r="N27" i="41"/>
  <c r="L27" i="41"/>
  <c r="N26" i="41"/>
  <c r="L26" i="41"/>
  <c r="N25" i="41"/>
  <c r="L25" i="41"/>
  <c r="N24" i="41"/>
  <c r="L24" i="41"/>
  <c r="N23" i="41"/>
  <c r="L23" i="41"/>
  <c r="N22" i="41"/>
  <c r="L22" i="41"/>
  <c r="N21" i="41"/>
  <c r="L21" i="41"/>
  <c r="N20" i="41"/>
  <c r="N19" i="41"/>
  <c r="N18" i="41"/>
  <c r="C17" i="41"/>
  <c r="K11" i="41"/>
  <c r="I11" i="41"/>
  <c r="D8" i="41"/>
  <c r="D90" i="41" s="1"/>
  <c r="P1" i="41"/>
  <c r="P83" i="41" s="1"/>
  <c r="F66" i="2"/>
  <c r="C66" i="2"/>
  <c r="E17" i="1"/>
  <c r="F13" i="1"/>
  <c r="C80" i="1" s="1"/>
  <c r="F87" i="1"/>
  <c r="C81" i="1"/>
  <c r="C75" i="1"/>
  <c r="C64" i="1"/>
  <c r="C58" i="1"/>
  <c r="C47" i="1"/>
  <c r="C46" i="1"/>
  <c r="C45" i="1"/>
  <c r="C34" i="1"/>
  <c r="C31" i="1"/>
  <c r="C24" i="1"/>
  <c r="E17" i="13"/>
  <c r="M16" i="2"/>
  <c r="N100" i="31"/>
  <c r="O100" i="31"/>
  <c r="L100" i="31"/>
  <c r="M100" i="31" s="1"/>
  <c r="M19" i="31"/>
  <c r="N19" i="31" s="1"/>
  <c r="O19" i="31" s="1"/>
  <c r="K19" i="31"/>
  <c r="L19" i="31"/>
  <c r="N99" i="30"/>
  <c r="L99" i="30"/>
  <c r="M99" i="30" s="1"/>
  <c r="M18" i="30"/>
  <c r="N18" i="30" s="1"/>
  <c r="K18" i="30"/>
  <c r="L18" i="30" s="1"/>
  <c r="N100" i="29"/>
  <c r="O100" i="29"/>
  <c r="L100" i="29"/>
  <c r="M100" i="29" s="1"/>
  <c r="M19" i="29"/>
  <c r="N19" i="29" s="1"/>
  <c r="L19" i="29"/>
  <c r="K19" i="29"/>
  <c r="N100" i="28"/>
  <c r="O100" i="28" s="1"/>
  <c r="L100" i="28"/>
  <c r="M100" i="28" s="1"/>
  <c r="M19" i="28"/>
  <c r="N19" i="28"/>
  <c r="K19" i="28"/>
  <c r="L19" i="28" s="1"/>
  <c r="N101" i="27"/>
  <c r="O101" i="27" s="1"/>
  <c r="P101" i="27" s="1"/>
  <c r="L101" i="27"/>
  <c r="M101" i="27"/>
  <c r="M20" i="27"/>
  <c r="N20" i="27"/>
  <c r="K20" i="27"/>
  <c r="L20" i="27" s="1"/>
  <c r="N104" i="25"/>
  <c r="O104" i="25" s="1"/>
  <c r="P104" i="25" s="1"/>
  <c r="L104" i="25"/>
  <c r="M104" i="25" s="1"/>
  <c r="M23" i="25"/>
  <c r="N23" i="25"/>
  <c r="O23" i="25" s="1"/>
  <c r="K23" i="25"/>
  <c r="L23" i="25" s="1"/>
  <c r="N102" i="24"/>
  <c r="O102" i="24" s="1"/>
  <c r="P102" i="24"/>
  <c r="L102" i="24"/>
  <c r="M102" i="24"/>
  <c r="M21" i="24"/>
  <c r="N21" i="24"/>
  <c r="K21" i="24"/>
  <c r="L21" i="24" s="1"/>
  <c r="N103" i="23"/>
  <c r="O103" i="23" s="1"/>
  <c r="L103" i="23"/>
  <c r="M103" i="23" s="1"/>
  <c r="M22" i="23"/>
  <c r="N22" i="23" s="1"/>
  <c r="K22" i="23"/>
  <c r="L22" i="23" s="1"/>
  <c r="N104" i="22"/>
  <c r="O104" i="22"/>
  <c r="L104" i="22"/>
  <c r="M104" i="22" s="1"/>
  <c r="M23" i="22"/>
  <c r="N23" i="22" s="1"/>
  <c r="O23" i="22" s="1"/>
  <c r="K23" i="22"/>
  <c r="L23" i="22"/>
  <c r="N107" i="11"/>
  <c r="O107" i="11"/>
  <c r="P107" i="11" s="1"/>
  <c r="L107" i="11"/>
  <c r="M107" i="11" s="1"/>
  <c r="M26" i="11"/>
  <c r="N26" i="11" s="1"/>
  <c r="O26" i="11" s="1"/>
  <c r="K26" i="11"/>
  <c r="L26" i="11"/>
  <c r="N108" i="10"/>
  <c r="O108" i="10"/>
  <c r="L108" i="10"/>
  <c r="M108" i="10" s="1"/>
  <c r="M27" i="10"/>
  <c r="N27" i="10" s="1"/>
  <c r="O27" i="10" s="1"/>
  <c r="K27" i="10"/>
  <c r="L27" i="10"/>
  <c r="N107" i="9"/>
  <c r="O107" i="9"/>
  <c r="L107" i="9"/>
  <c r="M107" i="9" s="1"/>
  <c r="M26" i="9"/>
  <c r="N26" i="9" s="1"/>
  <c r="K26" i="9"/>
  <c r="L26" i="9" s="1"/>
  <c r="N106" i="8"/>
  <c r="O106" i="8" s="1"/>
  <c r="L106" i="8"/>
  <c r="M106" i="8" s="1"/>
  <c r="P106" i="8"/>
  <c r="M25" i="8"/>
  <c r="N25" i="8"/>
  <c r="K25" i="8"/>
  <c r="L25" i="8"/>
  <c r="N108" i="7"/>
  <c r="O108" i="7" s="1"/>
  <c r="P108" i="7" s="1"/>
  <c r="L108" i="7"/>
  <c r="M108" i="7"/>
  <c r="M27" i="7"/>
  <c r="N27" i="7"/>
  <c r="K27" i="7"/>
  <c r="L27" i="7"/>
  <c r="M25" i="6"/>
  <c r="N25" i="6"/>
  <c r="K25" i="6"/>
  <c r="L25" i="6" s="1"/>
  <c r="N106" i="6"/>
  <c r="O106" i="6" s="1"/>
  <c r="P106" i="6" s="1"/>
  <c r="L106" i="6"/>
  <c r="M106" i="6"/>
  <c r="N105" i="5"/>
  <c r="O105" i="5"/>
  <c r="P105" i="5" s="1"/>
  <c r="L105" i="5"/>
  <c r="M105" i="5" s="1"/>
  <c r="M24" i="5"/>
  <c r="N24" i="5" s="1"/>
  <c r="O24" i="5"/>
  <c r="K24" i="5"/>
  <c r="L24" i="5"/>
  <c r="N105" i="4"/>
  <c r="L105" i="4"/>
  <c r="M105" i="4" s="1"/>
  <c r="M24" i="4"/>
  <c r="N24" i="4" s="1"/>
  <c r="K24" i="4"/>
  <c r="L24" i="4" s="1"/>
  <c r="M24" i="3"/>
  <c r="N24" i="3" s="1"/>
  <c r="K24" i="3"/>
  <c r="L24" i="3" s="1"/>
  <c r="O24" i="3" s="1"/>
  <c r="N105" i="3"/>
  <c r="O105" i="3"/>
  <c r="L105" i="3"/>
  <c r="M105" i="3" s="1"/>
  <c r="P39" i="17"/>
  <c r="P38" i="17"/>
  <c r="P37" i="17"/>
  <c r="P36" i="17"/>
  <c r="O26" i="9"/>
  <c r="P1" i="40"/>
  <c r="P83" i="40" s="1"/>
  <c r="P1" i="39"/>
  <c r="P83" i="39" s="1"/>
  <c r="P1" i="38"/>
  <c r="P83" i="38" s="1"/>
  <c r="P1" i="37"/>
  <c r="P83" i="37" s="1"/>
  <c r="P154" i="40"/>
  <c r="O154" i="40"/>
  <c r="M154" i="40"/>
  <c r="J154" i="40"/>
  <c r="P153" i="40"/>
  <c r="O153" i="40"/>
  <c r="M153" i="40"/>
  <c r="J153" i="40"/>
  <c r="P152" i="40"/>
  <c r="O152" i="40"/>
  <c r="M152" i="40"/>
  <c r="J152" i="40"/>
  <c r="P151" i="40"/>
  <c r="O151" i="40"/>
  <c r="M151" i="40"/>
  <c r="J151" i="40"/>
  <c r="P150" i="40"/>
  <c r="O150" i="40"/>
  <c r="M150" i="40"/>
  <c r="J150" i="40"/>
  <c r="P149" i="40"/>
  <c r="O149" i="40"/>
  <c r="M149" i="40"/>
  <c r="J149" i="40"/>
  <c r="P148" i="40"/>
  <c r="O148" i="40"/>
  <c r="M148" i="40"/>
  <c r="J148" i="40"/>
  <c r="P147" i="40"/>
  <c r="O147" i="40"/>
  <c r="M147" i="40"/>
  <c r="J147" i="40"/>
  <c r="P146" i="40"/>
  <c r="O146" i="40"/>
  <c r="M146" i="40"/>
  <c r="J146" i="40"/>
  <c r="P145" i="40"/>
  <c r="O145" i="40"/>
  <c r="M145" i="40"/>
  <c r="J145" i="40"/>
  <c r="P144" i="40"/>
  <c r="O144" i="40"/>
  <c r="M144" i="40"/>
  <c r="J144" i="40"/>
  <c r="P143" i="40"/>
  <c r="O143" i="40"/>
  <c r="M143" i="40"/>
  <c r="J143" i="40"/>
  <c r="P142" i="40"/>
  <c r="O142" i="40"/>
  <c r="M142" i="40"/>
  <c r="J142" i="40"/>
  <c r="P141" i="40"/>
  <c r="O141" i="40"/>
  <c r="M141" i="40"/>
  <c r="J141" i="40"/>
  <c r="P140" i="40"/>
  <c r="O140" i="40"/>
  <c r="M140" i="40"/>
  <c r="J140" i="40"/>
  <c r="P139" i="40"/>
  <c r="O139" i="40"/>
  <c r="M139" i="40"/>
  <c r="J139" i="40"/>
  <c r="P138" i="40"/>
  <c r="O138" i="40"/>
  <c r="M138" i="40"/>
  <c r="J138" i="40"/>
  <c r="P137" i="40"/>
  <c r="O137" i="40"/>
  <c r="M137" i="40"/>
  <c r="J137" i="40"/>
  <c r="P136" i="40"/>
  <c r="O136" i="40"/>
  <c r="M136" i="40"/>
  <c r="J136" i="40"/>
  <c r="P135" i="40"/>
  <c r="O135" i="40"/>
  <c r="M135" i="40"/>
  <c r="J135" i="40"/>
  <c r="P134" i="40"/>
  <c r="O134" i="40"/>
  <c r="M134" i="40"/>
  <c r="J134" i="40"/>
  <c r="P133" i="40"/>
  <c r="O133" i="40"/>
  <c r="M133" i="40"/>
  <c r="J133" i="40"/>
  <c r="P132" i="40"/>
  <c r="O132" i="40"/>
  <c r="M132" i="40"/>
  <c r="J132" i="40"/>
  <c r="P131" i="40"/>
  <c r="O131" i="40"/>
  <c r="M131" i="40"/>
  <c r="J131" i="40"/>
  <c r="O130" i="40"/>
  <c r="M130" i="40"/>
  <c r="O129" i="40"/>
  <c r="M129" i="40"/>
  <c r="O128" i="40"/>
  <c r="M128" i="40"/>
  <c r="O127" i="40"/>
  <c r="M127" i="40"/>
  <c r="O126" i="40"/>
  <c r="M126" i="40"/>
  <c r="O125" i="40"/>
  <c r="M125" i="40"/>
  <c r="O124" i="40"/>
  <c r="M124" i="40"/>
  <c r="O123" i="40"/>
  <c r="M123" i="40"/>
  <c r="O122" i="40"/>
  <c r="M122" i="40"/>
  <c r="O121" i="40"/>
  <c r="M121" i="40"/>
  <c r="O120" i="40"/>
  <c r="M120" i="40"/>
  <c r="O119" i="40"/>
  <c r="M119" i="40"/>
  <c r="O118" i="40"/>
  <c r="M118" i="40"/>
  <c r="O117" i="40"/>
  <c r="M117" i="40"/>
  <c r="O116" i="40"/>
  <c r="M116" i="40"/>
  <c r="O115" i="40"/>
  <c r="M115" i="40"/>
  <c r="O114" i="40"/>
  <c r="M114" i="40"/>
  <c r="O113" i="40"/>
  <c r="M113" i="40"/>
  <c r="O112" i="40"/>
  <c r="M112" i="40"/>
  <c r="O111" i="40"/>
  <c r="M111" i="40"/>
  <c r="O110" i="40"/>
  <c r="M110" i="40"/>
  <c r="O109" i="40"/>
  <c r="M109" i="40"/>
  <c r="O108" i="40"/>
  <c r="M108" i="40"/>
  <c r="O107" i="40"/>
  <c r="M107" i="40"/>
  <c r="O106" i="40"/>
  <c r="M106" i="40"/>
  <c r="O105" i="40"/>
  <c r="M105" i="40"/>
  <c r="O104" i="40"/>
  <c r="M104" i="40"/>
  <c r="O103" i="40"/>
  <c r="M103" i="40"/>
  <c r="O102" i="40"/>
  <c r="M102" i="40"/>
  <c r="O101" i="40"/>
  <c r="O100" i="40"/>
  <c r="D96" i="40"/>
  <c r="L93" i="40"/>
  <c r="J93" i="40"/>
  <c r="D91" i="40"/>
  <c r="D89" i="40"/>
  <c r="N72" i="40"/>
  <c r="L72" i="40"/>
  <c r="N71" i="40"/>
  <c r="L71" i="40"/>
  <c r="N70" i="40"/>
  <c r="L70" i="40"/>
  <c r="N69" i="40"/>
  <c r="L69" i="40"/>
  <c r="N68" i="40"/>
  <c r="L68" i="40"/>
  <c r="N67" i="40"/>
  <c r="L67" i="40"/>
  <c r="N66" i="40"/>
  <c r="L66" i="40"/>
  <c r="N65" i="40"/>
  <c r="L65" i="40"/>
  <c r="N64" i="40"/>
  <c r="L64" i="40"/>
  <c r="N63" i="40"/>
  <c r="L63" i="40"/>
  <c r="N62" i="40"/>
  <c r="L62" i="40"/>
  <c r="N61" i="40"/>
  <c r="L61" i="40"/>
  <c r="N60" i="40"/>
  <c r="L60" i="40"/>
  <c r="N59" i="40"/>
  <c r="L59" i="40"/>
  <c r="N58" i="40"/>
  <c r="L58" i="40"/>
  <c r="N57" i="40"/>
  <c r="L57" i="40"/>
  <c r="N56" i="40"/>
  <c r="L56" i="40"/>
  <c r="N55" i="40"/>
  <c r="L55" i="40"/>
  <c r="N54" i="40"/>
  <c r="L54" i="40"/>
  <c r="N53" i="40"/>
  <c r="L53" i="40"/>
  <c r="N52" i="40"/>
  <c r="L52" i="40"/>
  <c r="N51" i="40"/>
  <c r="L51" i="40"/>
  <c r="N50" i="40"/>
  <c r="L50" i="40"/>
  <c r="N49" i="40"/>
  <c r="L49" i="40"/>
  <c r="N48" i="40"/>
  <c r="L48" i="40"/>
  <c r="N47" i="40"/>
  <c r="L47" i="40"/>
  <c r="N46" i="40"/>
  <c r="L46" i="40"/>
  <c r="N45" i="40"/>
  <c r="L45" i="40"/>
  <c r="N44" i="40"/>
  <c r="L44" i="40"/>
  <c r="N43" i="40"/>
  <c r="L43" i="40"/>
  <c r="N42" i="40"/>
  <c r="L42" i="40"/>
  <c r="N41" i="40"/>
  <c r="L41" i="40"/>
  <c r="N40" i="40"/>
  <c r="L40" i="40"/>
  <c r="N39" i="40"/>
  <c r="L39" i="40"/>
  <c r="N38" i="40"/>
  <c r="L38" i="40"/>
  <c r="N37" i="40"/>
  <c r="L37" i="40"/>
  <c r="N36" i="40"/>
  <c r="L36" i="40"/>
  <c r="N35" i="40"/>
  <c r="L35" i="40"/>
  <c r="N34" i="40"/>
  <c r="L34" i="40"/>
  <c r="N33" i="40"/>
  <c r="L33" i="40"/>
  <c r="N32" i="40"/>
  <c r="L32" i="40"/>
  <c r="N31" i="40"/>
  <c r="L31" i="40"/>
  <c r="N30" i="40"/>
  <c r="L30" i="40"/>
  <c r="N29" i="40"/>
  <c r="L29" i="40"/>
  <c r="N28" i="40"/>
  <c r="L28" i="40"/>
  <c r="N27" i="40"/>
  <c r="L27" i="40"/>
  <c r="N26" i="40"/>
  <c r="L26" i="40"/>
  <c r="N25" i="40"/>
  <c r="L25" i="40"/>
  <c r="N24" i="40"/>
  <c r="L24" i="40"/>
  <c r="N23" i="40"/>
  <c r="L23" i="40"/>
  <c r="N22" i="40"/>
  <c r="L22" i="40"/>
  <c r="N21" i="40"/>
  <c r="L21" i="40"/>
  <c r="N20" i="40"/>
  <c r="N19" i="40"/>
  <c r="N18" i="40"/>
  <c r="O18" i="40" s="1"/>
  <c r="C17" i="40"/>
  <c r="C18" i="40" s="1"/>
  <c r="C19" i="40" s="1"/>
  <c r="C20" i="40" s="1"/>
  <c r="C21" i="40" s="1"/>
  <c r="C22" i="40" s="1"/>
  <c r="C23" i="40" s="1"/>
  <c r="C24" i="40" s="1"/>
  <c r="C25" i="40" s="1"/>
  <c r="C26" i="40" s="1"/>
  <c r="C27" i="40" s="1"/>
  <c r="C28" i="40" s="1"/>
  <c r="C29" i="40" s="1"/>
  <c r="C30" i="40" s="1"/>
  <c r="C31" i="40" s="1"/>
  <c r="C32" i="40" s="1"/>
  <c r="C33" i="40" s="1"/>
  <c r="C34" i="40" s="1"/>
  <c r="C35" i="40" s="1"/>
  <c r="C36" i="40" s="1"/>
  <c r="C37" i="40" s="1"/>
  <c r="C38" i="40" s="1"/>
  <c r="C39" i="40" s="1"/>
  <c r="C40" i="40" s="1"/>
  <c r="C41" i="40" s="1"/>
  <c r="C42" i="40" s="1"/>
  <c r="C43" i="40" s="1"/>
  <c r="C44" i="40" s="1"/>
  <c r="K11" i="40"/>
  <c r="I11" i="40"/>
  <c r="D8" i="40"/>
  <c r="D90" i="40"/>
  <c r="P154" i="39"/>
  <c r="O154" i="39"/>
  <c r="M154" i="39"/>
  <c r="J154" i="39"/>
  <c r="P153" i="39"/>
  <c r="O153" i="39"/>
  <c r="M153" i="39"/>
  <c r="J153" i="39"/>
  <c r="P152" i="39"/>
  <c r="O152" i="39"/>
  <c r="M152" i="39"/>
  <c r="J152" i="39"/>
  <c r="P151" i="39"/>
  <c r="O151" i="39"/>
  <c r="M151" i="39"/>
  <c r="J151" i="39"/>
  <c r="P150" i="39"/>
  <c r="O150" i="39"/>
  <c r="M150" i="39"/>
  <c r="J150" i="39"/>
  <c r="P149" i="39"/>
  <c r="O149" i="39"/>
  <c r="M149" i="39"/>
  <c r="J149" i="39"/>
  <c r="P148" i="39"/>
  <c r="O148" i="39"/>
  <c r="M148" i="39"/>
  <c r="J148" i="39"/>
  <c r="P147" i="39"/>
  <c r="O147" i="39"/>
  <c r="M147" i="39"/>
  <c r="J147" i="39"/>
  <c r="P146" i="39"/>
  <c r="O146" i="39"/>
  <c r="M146" i="39"/>
  <c r="J146" i="39"/>
  <c r="P145" i="39"/>
  <c r="O145" i="39"/>
  <c r="M145" i="39"/>
  <c r="J145" i="39"/>
  <c r="P144" i="39"/>
  <c r="O144" i="39"/>
  <c r="M144" i="39"/>
  <c r="J144" i="39"/>
  <c r="P143" i="39"/>
  <c r="O143" i="39"/>
  <c r="M143" i="39"/>
  <c r="J143" i="39"/>
  <c r="P142" i="39"/>
  <c r="O142" i="39"/>
  <c r="M142" i="39"/>
  <c r="J142" i="39"/>
  <c r="P141" i="39"/>
  <c r="O141" i="39"/>
  <c r="M141" i="39"/>
  <c r="J141" i="39"/>
  <c r="P140" i="39"/>
  <c r="O140" i="39"/>
  <c r="M140" i="39"/>
  <c r="J140" i="39"/>
  <c r="P139" i="39"/>
  <c r="O139" i="39"/>
  <c r="M139" i="39"/>
  <c r="J139" i="39"/>
  <c r="P138" i="39"/>
  <c r="O138" i="39"/>
  <c r="M138" i="39"/>
  <c r="J138" i="39"/>
  <c r="P137" i="39"/>
  <c r="O137" i="39"/>
  <c r="M137" i="39"/>
  <c r="J137" i="39"/>
  <c r="P136" i="39"/>
  <c r="O136" i="39"/>
  <c r="M136" i="39"/>
  <c r="J136" i="39"/>
  <c r="P135" i="39"/>
  <c r="O135" i="39"/>
  <c r="M135" i="39"/>
  <c r="J135" i="39"/>
  <c r="P134" i="39"/>
  <c r="O134" i="39"/>
  <c r="M134" i="39"/>
  <c r="J134" i="39"/>
  <c r="P133" i="39"/>
  <c r="O133" i="39"/>
  <c r="M133" i="39"/>
  <c r="J133" i="39"/>
  <c r="P132" i="39"/>
  <c r="O132" i="39"/>
  <c r="M132" i="39"/>
  <c r="J132" i="39"/>
  <c r="P131" i="39"/>
  <c r="O131" i="39"/>
  <c r="M131" i="39"/>
  <c r="J131" i="39"/>
  <c r="O130" i="39"/>
  <c r="M130" i="39"/>
  <c r="O129" i="39"/>
  <c r="M129" i="39"/>
  <c r="O128" i="39"/>
  <c r="M128" i="39"/>
  <c r="O127" i="39"/>
  <c r="M127" i="39"/>
  <c r="O126" i="39"/>
  <c r="M126" i="39"/>
  <c r="O125" i="39"/>
  <c r="M125" i="39"/>
  <c r="O124" i="39"/>
  <c r="M124" i="39"/>
  <c r="O123" i="39"/>
  <c r="M123" i="39"/>
  <c r="O122" i="39"/>
  <c r="M122" i="39"/>
  <c r="O121" i="39"/>
  <c r="M121" i="39"/>
  <c r="O120" i="39"/>
  <c r="M120" i="39"/>
  <c r="O119" i="39"/>
  <c r="M119" i="39"/>
  <c r="O118" i="39"/>
  <c r="M118" i="39"/>
  <c r="O117" i="39"/>
  <c r="M117" i="39"/>
  <c r="O116" i="39"/>
  <c r="M116" i="39"/>
  <c r="O115" i="39"/>
  <c r="M115" i="39"/>
  <c r="O114" i="39"/>
  <c r="M114" i="39"/>
  <c r="O113" i="39"/>
  <c r="M113" i="39"/>
  <c r="O112" i="39"/>
  <c r="M112" i="39"/>
  <c r="O111" i="39"/>
  <c r="M111" i="39"/>
  <c r="O110" i="39"/>
  <c r="M110" i="39"/>
  <c r="O109" i="39"/>
  <c r="M109" i="39"/>
  <c r="O108" i="39"/>
  <c r="M108" i="39"/>
  <c r="O107" i="39"/>
  <c r="M107" i="39"/>
  <c r="O106" i="39"/>
  <c r="M106" i="39"/>
  <c r="O105" i="39"/>
  <c r="M105" i="39"/>
  <c r="O104" i="39"/>
  <c r="M104" i="39"/>
  <c r="O103" i="39"/>
  <c r="M103" i="39"/>
  <c r="O102" i="39"/>
  <c r="O101" i="39"/>
  <c r="O99" i="39"/>
  <c r="M99" i="39"/>
  <c r="D96" i="39"/>
  <c r="L93" i="39"/>
  <c r="J93" i="39"/>
  <c r="D91" i="39"/>
  <c r="D89" i="39"/>
  <c r="N72" i="39"/>
  <c r="L72" i="39"/>
  <c r="N71" i="39"/>
  <c r="L71" i="39"/>
  <c r="N70" i="39"/>
  <c r="L70" i="39"/>
  <c r="N69" i="39"/>
  <c r="L69" i="39"/>
  <c r="N68" i="39"/>
  <c r="L68" i="39"/>
  <c r="N67" i="39"/>
  <c r="L67" i="39"/>
  <c r="N66" i="39"/>
  <c r="L66" i="39"/>
  <c r="N65" i="39"/>
  <c r="L65" i="39"/>
  <c r="N64" i="39"/>
  <c r="L64" i="39"/>
  <c r="N63" i="39"/>
  <c r="L63" i="39"/>
  <c r="N62" i="39"/>
  <c r="L62" i="39"/>
  <c r="N61" i="39"/>
  <c r="L61" i="39"/>
  <c r="N60" i="39"/>
  <c r="L60" i="39"/>
  <c r="N59" i="39"/>
  <c r="L59" i="39"/>
  <c r="N58" i="39"/>
  <c r="L58" i="39"/>
  <c r="N57" i="39"/>
  <c r="L57" i="39"/>
  <c r="N56" i="39"/>
  <c r="L56" i="39"/>
  <c r="N55" i="39"/>
  <c r="L55" i="39"/>
  <c r="N54" i="39"/>
  <c r="L54" i="39"/>
  <c r="N53" i="39"/>
  <c r="L53" i="39"/>
  <c r="N52" i="39"/>
  <c r="L52" i="39"/>
  <c r="N51" i="39"/>
  <c r="L51" i="39"/>
  <c r="N50" i="39"/>
  <c r="L50" i="39"/>
  <c r="N49" i="39"/>
  <c r="L49" i="39"/>
  <c r="N48" i="39"/>
  <c r="L48" i="39"/>
  <c r="N47" i="39"/>
  <c r="L47" i="39"/>
  <c r="N46" i="39"/>
  <c r="L46" i="39"/>
  <c r="N45" i="39"/>
  <c r="L45" i="39"/>
  <c r="N44" i="39"/>
  <c r="L44" i="39"/>
  <c r="N43" i="39"/>
  <c r="L43" i="39"/>
  <c r="N42" i="39"/>
  <c r="L42" i="39"/>
  <c r="N41" i="39"/>
  <c r="L41" i="39"/>
  <c r="N40" i="39"/>
  <c r="L40" i="39"/>
  <c r="N39" i="39"/>
  <c r="L39" i="39"/>
  <c r="N38" i="39"/>
  <c r="L38" i="39"/>
  <c r="N37" i="39"/>
  <c r="L37" i="39"/>
  <c r="N36" i="39"/>
  <c r="L36" i="39"/>
  <c r="N35" i="39"/>
  <c r="L35" i="39"/>
  <c r="N34" i="39"/>
  <c r="L34" i="39"/>
  <c r="N33" i="39"/>
  <c r="L33" i="39"/>
  <c r="N32" i="39"/>
  <c r="L32" i="39"/>
  <c r="N31" i="39"/>
  <c r="L31" i="39"/>
  <c r="N30" i="39"/>
  <c r="L30" i="39"/>
  <c r="N29" i="39"/>
  <c r="L29" i="39"/>
  <c r="N28" i="39"/>
  <c r="L28" i="39"/>
  <c r="N27" i="39"/>
  <c r="L27" i="39"/>
  <c r="N26" i="39"/>
  <c r="L26" i="39"/>
  <c r="N25" i="39"/>
  <c r="L25" i="39"/>
  <c r="N24" i="39"/>
  <c r="L24" i="39"/>
  <c r="N23" i="39"/>
  <c r="L23" i="39"/>
  <c r="N22" i="39"/>
  <c r="L22" i="39"/>
  <c r="N21" i="39"/>
  <c r="N20" i="39"/>
  <c r="N19" i="39"/>
  <c r="N18" i="39"/>
  <c r="N17" i="39"/>
  <c r="L17" i="39"/>
  <c r="O17" i="39"/>
  <c r="C17" i="39"/>
  <c r="C18" i="39" s="1"/>
  <c r="C19" i="39" s="1"/>
  <c r="C20" i="39" s="1"/>
  <c r="C21" i="39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K11" i="39"/>
  <c r="I11" i="39"/>
  <c r="D8" i="39"/>
  <c r="D90" i="39" s="1"/>
  <c r="P154" i="38"/>
  <c r="O154" i="38"/>
  <c r="M154" i="38"/>
  <c r="J154" i="38"/>
  <c r="P153" i="38"/>
  <c r="O153" i="38"/>
  <c r="M153" i="38"/>
  <c r="J153" i="38"/>
  <c r="P152" i="38"/>
  <c r="O152" i="38"/>
  <c r="M152" i="38"/>
  <c r="J152" i="38"/>
  <c r="P151" i="38"/>
  <c r="O151" i="38"/>
  <c r="M151" i="38"/>
  <c r="J151" i="38"/>
  <c r="P150" i="38"/>
  <c r="O150" i="38"/>
  <c r="M150" i="38"/>
  <c r="J150" i="38"/>
  <c r="P149" i="38"/>
  <c r="O149" i="38"/>
  <c r="M149" i="38"/>
  <c r="J149" i="38"/>
  <c r="P148" i="38"/>
  <c r="O148" i="38"/>
  <c r="M148" i="38"/>
  <c r="J148" i="38"/>
  <c r="P147" i="38"/>
  <c r="O147" i="38"/>
  <c r="M147" i="38"/>
  <c r="J147" i="38"/>
  <c r="P146" i="38"/>
  <c r="O146" i="38"/>
  <c r="M146" i="38"/>
  <c r="J146" i="38"/>
  <c r="P145" i="38"/>
  <c r="O145" i="38"/>
  <c r="M145" i="38"/>
  <c r="J145" i="38"/>
  <c r="P144" i="38"/>
  <c r="O144" i="38"/>
  <c r="M144" i="38"/>
  <c r="J144" i="38"/>
  <c r="P143" i="38"/>
  <c r="O143" i="38"/>
  <c r="M143" i="38"/>
  <c r="J143" i="38"/>
  <c r="P142" i="38"/>
  <c r="O142" i="38"/>
  <c r="M142" i="38"/>
  <c r="J142" i="38"/>
  <c r="P141" i="38"/>
  <c r="O141" i="38"/>
  <c r="M141" i="38"/>
  <c r="J141" i="38"/>
  <c r="P140" i="38"/>
  <c r="O140" i="38"/>
  <c r="M140" i="38"/>
  <c r="J140" i="38"/>
  <c r="P139" i="38"/>
  <c r="O139" i="38"/>
  <c r="M139" i="38"/>
  <c r="J139" i="38"/>
  <c r="P138" i="38"/>
  <c r="O138" i="38"/>
  <c r="M138" i="38"/>
  <c r="J138" i="38"/>
  <c r="P137" i="38"/>
  <c r="O137" i="38"/>
  <c r="M137" i="38"/>
  <c r="J137" i="38"/>
  <c r="P136" i="38"/>
  <c r="O136" i="38"/>
  <c r="M136" i="38"/>
  <c r="J136" i="38"/>
  <c r="P135" i="38"/>
  <c r="O135" i="38"/>
  <c r="M135" i="38"/>
  <c r="J135" i="38"/>
  <c r="P134" i="38"/>
  <c r="O134" i="38"/>
  <c r="M134" i="38"/>
  <c r="J134" i="38"/>
  <c r="P133" i="38"/>
  <c r="O133" i="38"/>
  <c r="M133" i="38"/>
  <c r="J133" i="38"/>
  <c r="P132" i="38"/>
  <c r="O132" i="38"/>
  <c r="M132" i="38"/>
  <c r="J132" i="38"/>
  <c r="P131" i="38"/>
  <c r="O131" i="38"/>
  <c r="M131" i="38"/>
  <c r="J131" i="38"/>
  <c r="O130" i="38"/>
  <c r="M130" i="38"/>
  <c r="O129" i="38"/>
  <c r="M129" i="38"/>
  <c r="O128" i="38"/>
  <c r="M128" i="38"/>
  <c r="O127" i="38"/>
  <c r="M127" i="38"/>
  <c r="O126" i="38"/>
  <c r="M126" i="38"/>
  <c r="O125" i="38"/>
  <c r="M125" i="38"/>
  <c r="O124" i="38"/>
  <c r="M124" i="38"/>
  <c r="O123" i="38"/>
  <c r="M123" i="38"/>
  <c r="O122" i="38"/>
  <c r="M122" i="38"/>
  <c r="O121" i="38"/>
  <c r="M121" i="38"/>
  <c r="O120" i="38"/>
  <c r="M120" i="38"/>
  <c r="O119" i="38"/>
  <c r="M119" i="38"/>
  <c r="O118" i="38"/>
  <c r="M118" i="38"/>
  <c r="O117" i="38"/>
  <c r="M117" i="38"/>
  <c r="O116" i="38"/>
  <c r="M116" i="38"/>
  <c r="O115" i="38"/>
  <c r="M115" i="38"/>
  <c r="O114" i="38"/>
  <c r="M114" i="38"/>
  <c r="O113" i="38"/>
  <c r="M113" i="38"/>
  <c r="O112" i="38"/>
  <c r="M112" i="38"/>
  <c r="O111" i="38"/>
  <c r="M111" i="38"/>
  <c r="O110" i="38"/>
  <c r="M110" i="38"/>
  <c r="O109" i="38"/>
  <c r="M109" i="38"/>
  <c r="O108" i="38"/>
  <c r="M108" i="38"/>
  <c r="O107" i="38"/>
  <c r="M107" i="38"/>
  <c r="O106" i="38"/>
  <c r="M106" i="38"/>
  <c r="O105" i="38"/>
  <c r="M105" i="38"/>
  <c r="O104" i="38"/>
  <c r="M104" i="38"/>
  <c r="O103" i="38"/>
  <c r="M103" i="38"/>
  <c r="O102" i="38"/>
  <c r="M102" i="38"/>
  <c r="O101" i="38"/>
  <c r="O99" i="38"/>
  <c r="M99" i="38"/>
  <c r="P99" i="38"/>
  <c r="D96" i="38"/>
  <c r="L93" i="38"/>
  <c r="J93" i="38"/>
  <c r="D91" i="38"/>
  <c r="D89" i="38"/>
  <c r="N72" i="38"/>
  <c r="L72" i="38"/>
  <c r="N71" i="38"/>
  <c r="L71" i="38"/>
  <c r="N70" i="38"/>
  <c r="L70" i="38"/>
  <c r="N69" i="38"/>
  <c r="L69" i="38"/>
  <c r="N68" i="38"/>
  <c r="L68" i="38"/>
  <c r="N67" i="38"/>
  <c r="L67" i="38"/>
  <c r="N66" i="38"/>
  <c r="L66" i="38"/>
  <c r="N65" i="38"/>
  <c r="L65" i="38"/>
  <c r="N64" i="38"/>
  <c r="L64" i="38"/>
  <c r="N63" i="38"/>
  <c r="L63" i="38"/>
  <c r="N62" i="38"/>
  <c r="L62" i="38"/>
  <c r="N61" i="38"/>
  <c r="L61" i="38"/>
  <c r="N60" i="38"/>
  <c r="L60" i="38"/>
  <c r="N59" i="38"/>
  <c r="L59" i="38"/>
  <c r="N58" i="38"/>
  <c r="L58" i="38"/>
  <c r="N57" i="38"/>
  <c r="L57" i="38"/>
  <c r="N56" i="38"/>
  <c r="L56" i="38"/>
  <c r="N55" i="38"/>
  <c r="L55" i="38"/>
  <c r="N54" i="38"/>
  <c r="L54" i="38"/>
  <c r="N53" i="38"/>
  <c r="L53" i="38"/>
  <c r="N52" i="38"/>
  <c r="L52" i="38"/>
  <c r="N51" i="38"/>
  <c r="L51" i="38"/>
  <c r="N50" i="38"/>
  <c r="L50" i="38"/>
  <c r="N49" i="38"/>
  <c r="L49" i="38"/>
  <c r="N48" i="38"/>
  <c r="L48" i="38"/>
  <c r="N47" i="38"/>
  <c r="L47" i="38"/>
  <c r="N46" i="38"/>
  <c r="L46" i="38"/>
  <c r="N45" i="38"/>
  <c r="L45" i="38"/>
  <c r="N44" i="38"/>
  <c r="L44" i="38"/>
  <c r="N43" i="38"/>
  <c r="L43" i="38"/>
  <c r="N42" i="38"/>
  <c r="L42" i="38"/>
  <c r="N41" i="38"/>
  <c r="L41" i="38"/>
  <c r="N40" i="38"/>
  <c r="L40" i="38"/>
  <c r="N39" i="38"/>
  <c r="L39" i="38"/>
  <c r="N38" i="38"/>
  <c r="L38" i="38"/>
  <c r="N37" i="38"/>
  <c r="L37" i="38"/>
  <c r="N36" i="38"/>
  <c r="L36" i="38"/>
  <c r="N35" i="38"/>
  <c r="L35" i="38"/>
  <c r="N34" i="38"/>
  <c r="L34" i="38"/>
  <c r="N33" i="38"/>
  <c r="L33" i="38"/>
  <c r="N32" i="38"/>
  <c r="L32" i="38"/>
  <c r="N31" i="38"/>
  <c r="L31" i="38"/>
  <c r="N30" i="38"/>
  <c r="L30" i="38"/>
  <c r="N29" i="38"/>
  <c r="L29" i="38"/>
  <c r="N28" i="38"/>
  <c r="L28" i="38"/>
  <c r="N27" i="38"/>
  <c r="L27" i="38"/>
  <c r="N26" i="38"/>
  <c r="L26" i="38"/>
  <c r="N25" i="38"/>
  <c r="L25" i="38"/>
  <c r="N24" i="38"/>
  <c r="L24" i="38"/>
  <c r="N23" i="38"/>
  <c r="L23" i="38"/>
  <c r="N22" i="38"/>
  <c r="L22" i="38"/>
  <c r="N21" i="38"/>
  <c r="N20" i="38"/>
  <c r="N19" i="38"/>
  <c r="N18" i="38"/>
  <c r="O18" i="38" s="1"/>
  <c r="N17" i="38"/>
  <c r="O17" i="38" s="1"/>
  <c r="C18" i="38"/>
  <c r="C19" i="38" s="1"/>
  <c r="C20" i="38" s="1"/>
  <c r="C21" i="38" s="1"/>
  <c r="C22" i="38" s="1"/>
  <c r="C23" i="38" s="1"/>
  <c r="C24" i="38" s="1"/>
  <c r="C25" i="38" s="1"/>
  <c r="C26" i="38"/>
  <c r="C27" i="38" s="1"/>
  <c r="C28" i="38" s="1"/>
  <c r="C29" i="38" s="1"/>
  <c r="C30" i="38" s="1"/>
  <c r="C31" i="38" s="1"/>
  <c r="C32" i="38" s="1"/>
  <c r="C33" i="38" s="1"/>
  <c r="C34" i="38" s="1"/>
  <c r="C35" i="38" s="1"/>
  <c r="C36" i="38" s="1"/>
  <c r="C37" i="38" s="1"/>
  <c r="C38" i="38" s="1"/>
  <c r="C39" i="38" s="1"/>
  <c r="C40" i="38" s="1"/>
  <c r="C41" i="38" s="1"/>
  <c r="C42" i="38" s="1"/>
  <c r="C43" i="38" s="1"/>
  <c r="C44" i="38" s="1"/>
  <c r="K11" i="38"/>
  <c r="I11" i="38"/>
  <c r="D8" i="38"/>
  <c r="D90" i="38" s="1"/>
  <c r="W39" i="17"/>
  <c r="W38" i="17"/>
  <c r="W37" i="17"/>
  <c r="W36" i="17"/>
  <c r="W35" i="17"/>
  <c r="P35" i="17"/>
  <c r="P154" i="37"/>
  <c r="O154" i="37"/>
  <c r="M154" i="37"/>
  <c r="J154" i="37"/>
  <c r="P153" i="37"/>
  <c r="O153" i="37"/>
  <c r="M153" i="37"/>
  <c r="J153" i="37"/>
  <c r="P152" i="37"/>
  <c r="O152" i="37"/>
  <c r="M152" i="37"/>
  <c r="J152" i="37"/>
  <c r="P151" i="37"/>
  <c r="O151" i="37"/>
  <c r="M151" i="37"/>
  <c r="J151" i="37"/>
  <c r="P150" i="37"/>
  <c r="O150" i="37"/>
  <c r="M150" i="37"/>
  <c r="J150" i="37"/>
  <c r="P149" i="37"/>
  <c r="O149" i="37"/>
  <c r="M149" i="37"/>
  <c r="J149" i="37"/>
  <c r="P148" i="37"/>
  <c r="O148" i="37"/>
  <c r="M148" i="37"/>
  <c r="J148" i="37"/>
  <c r="P147" i="37"/>
  <c r="O147" i="37"/>
  <c r="M147" i="37"/>
  <c r="J147" i="37"/>
  <c r="P146" i="37"/>
  <c r="O146" i="37"/>
  <c r="M146" i="37"/>
  <c r="J146" i="37"/>
  <c r="P145" i="37"/>
  <c r="O145" i="37"/>
  <c r="M145" i="37"/>
  <c r="J145" i="37"/>
  <c r="P144" i="37"/>
  <c r="O144" i="37"/>
  <c r="M144" i="37"/>
  <c r="J144" i="37"/>
  <c r="P143" i="37"/>
  <c r="O143" i="37"/>
  <c r="M143" i="37"/>
  <c r="J143" i="37"/>
  <c r="P142" i="37"/>
  <c r="O142" i="37"/>
  <c r="M142" i="37"/>
  <c r="J142" i="37"/>
  <c r="P141" i="37"/>
  <c r="O141" i="37"/>
  <c r="M141" i="37"/>
  <c r="J141" i="37"/>
  <c r="P140" i="37"/>
  <c r="O140" i="37"/>
  <c r="M140" i="37"/>
  <c r="J140" i="37"/>
  <c r="P139" i="37"/>
  <c r="O139" i="37"/>
  <c r="M139" i="37"/>
  <c r="J139" i="37"/>
  <c r="P138" i="37"/>
  <c r="O138" i="37"/>
  <c r="M138" i="37"/>
  <c r="J138" i="37"/>
  <c r="P137" i="37"/>
  <c r="O137" i="37"/>
  <c r="M137" i="37"/>
  <c r="J137" i="37"/>
  <c r="P136" i="37"/>
  <c r="O136" i="37"/>
  <c r="M136" i="37"/>
  <c r="J136" i="37"/>
  <c r="P135" i="37"/>
  <c r="O135" i="37"/>
  <c r="M135" i="37"/>
  <c r="J135" i="37"/>
  <c r="P134" i="37"/>
  <c r="O134" i="37"/>
  <c r="M134" i="37"/>
  <c r="J134" i="37"/>
  <c r="P133" i="37"/>
  <c r="O133" i="37"/>
  <c r="M133" i="37"/>
  <c r="J133" i="37"/>
  <c r="P132" i="37"/>
  <c r="O132" i="37"/>
  <c r="M132" i="37"/>
  <c r="J132" i="37"/>
  <c r="P131" i="37"/>
  <c r="O131" i="37"/>
  <c r="M131" i="37"/>
  <c r="J131" i="37"/>
  <c r="O130" i="37"/>
  <c r="M130" i="37"/>
  <c r="O129" i="37"/>
  <c r="M129" i="37"/>
  <c r="O128" i="37"/>
  <c r="M128" i="37"/>
  <c r="O127" i="37"/>
  <c r="M127" i="37"/>
  <c r="O126" i="37"/>
  <c r="M126" i="37"/>
  <c r="O125" i="37"/>
  <c r="M125" i="37"/>
  <c r="O124" i="37"/>
  <c r="M124" i="37"/>
  <c r="O123" i="37"/>
  <c r="M123" i="37"/>
  <c r="O122" i="37"/>
  <c r="M122" i="37"/>
  <c r="O121" i="37"/>
  <c r="M121" i="37"/>
  <c r="O120" i="37"/>
  <c r="M120" i="37"/>
  <c r="O119" i="37"/>
  <c r="M119" i="37"/>
  <c r="O118" i="37"/>
  <c r="M118" i="37"/>
  <c r="O117" i="37"/>
  <c r="M117" i="37"/>
  <c r="O116" i="37"/>
  <c r="M116" i="37"/>
  <c r="O115" i="37"/>
  <c r="M115" i="37"/>
  <c r="O114" i="37"/>
  <c r="M114" i="37"/>
  <c r="O113" i="37"/>
  <c r="M113" i="37"/>
  <c r="O112" i="37"/>
  <c r="M112" i="37"/>
  <c r="O111" i="37"/>
  <c r="M111" i="37"/>
  <c r="O110" i="37"/>
  <c r="M110" i="37"/>
  <c r="O109" i="37"/>
  <c r="M109" i="37"/>
  <c r="O108" i="37"/>
  <c r="M108" i="37"/>
  <c r="O107" i="37"/>
  <c r="M107" i="37"/>
  <c r="O106" i="37"/>
  <c r="M106" i="37"/>
  <c r="O105" i="37"/>
  <c r="M105" i="37"/>
  <c r="O104" i="37"/>
  <c r="M104" i="37"/>
  <c r="O103" i="37"/>
  <c r="M103" i="37"/>
  <c r="O102" i="37"/>
  <c r="O101" i="37"/>
  <c r="O99" i="37"/>
  <c r="M99" i="37"/>
  <c r="D96" i="37"/>
  <c r="L93" i="37"/>
  <c r="J93" i="37"/>
  <c r="D91" i="37"/>
  <c r="D89" i="37"/>
  <c r="N72" i="37"/>
  <c r="L72" i="37"/>
  <c r="N71" i="37"/>
  <c r="L71" i="37"/>
  <c r="N70" i="37"/>
  <c r="L70" i="37"/>
  <c r="N69" i="37"/>
  <c r="L69" i="37"/>
  <c r="N68" i="37"/>
  <c r="L68" i="37"/>
  <c r="N67" i="37"/>
  <c r="L67" i="37"/>
  <c r="N66" i="37"/>
  <c r="L66" i="37"/>
  <c r="N65" i="37"/>
  <c r="L65" i="37"/>
  <c r="N64" i="37"/>
  <c r="L64" i="37"/>
  <c r="N63" i="37"/>
  <c r="L63" i="37"/>
  <c r="N62" i="37"/>
  <c r="L62" i="37"/>
  <c r="N61" i="37"/>
  <c r="L61" i="37"/>
  <c r="N60" i="37"/>
  <c r="L60" i="37"/>
  <c r="N59" i="37"/>
  <c r="L59" i="37"/>
  <c r="N58" i="37"/>
  <c r="L58" i="37"/>
  <c r="N57" i="37"/>
  <c r="L57" i="37"/>
  <c r="N56" i="37"/>
  <c r="L56" i="37"/>
  <c r="N55" i="37"/>
  <c r="L55" i="37"/>
  <c r="N54" i="37"/>
  <c r="L54" i="37"/>
  <c r="N53" i="37"/>
  <c r="L53" i="37"/>
  <c r="N52" i="37"/>
  <c r="L52" i="37"/>
  <c r="N51" i="37"/>
  <c r="L51" i="37"/>
  <c r="N50" i="37"/>
  <c r="L50" i="37"/>
  <c r="N49" i="37"/>
  <c r="L49" i="37"/>
  <c r="N48" i="37"/>
  <c r="L48" i="37"/>
  <c r="N47" i="37"/>
  <c r="L47" i="37"/>
  <c r="N46" i="37"/>
  <c r="L46" i="37"/>
  <c r="N45" i="37"/>
  <c r="L45" i="37"/>
  <c r="N44" i="37"/>
  <c r="L44" i="37"/>
  <c r="N43" i="37"/>
  <c r="L43" i="37"/>
  <c r="N42" i="37"/>
  <c r="L42" i="37"/>
  <c r="N41" i="37"/>
  <c r="L41" i="37"/>
  <c r="N40" i="37"/>
  <c r="L40" i="37"/>
  <c r="N39" i="37"/>
  <c r="L39" i="37"/>
  <c r="N38" i="37"/>
  <c r="L38" i="37"/>
  <c r="N37" i="37"/>
  <c r="L37" i="37"/>
  <c r="N36" i="37"/>
  <c r="L36" i="37"/>
  <c r="N35" i="37"/>
  <c r="L35" i="37"/>
  <c r="N34" i="37"/>
  <c r="L34" i="37"/>
  <c r="N33" i="37"/>
  <c r="L33" i="37"/>
  <c r="N32" i="37"/>
  <c r="L32" i="37"/>
  <c r="N31" i="37"/>
  <c r="L31" i="37"/>
  <c r="N30" i="37"/>
  <c r="L30" i="37"/>
  <c r="N29" i="37"/>
  <c r="L29" i="37"/>
  <c r="N28" i="37"/>
  <c r="L28" i="37"/>
  <c r="N27" i="37"/>
  <c r="L27" i="37"/>
  <c r="N26" i="37"/>
  <c r="L26" i="37"/>
  <c r="N25" i="37"/>
  <c r="L25" i="37"/>
  <c r="N24" i="37"/>
  <c r="L24" i="37"/>
  <c r="N23" i="37"/>
  <c r="L23" i="37"/>
  <c r="N22" i="37"/>
  <c r="L22" i="37"/>
  <c r="N21" i="37"/>
  <c r="N20" i="37"/>
  <c r="N19" i="37"/>
  <c r="C17" i="37"/>
  <c r="C18" i="37"/>
  <c r="C19" i="37" s="1"/>
  <c r="C20" i="37"/>
  <c r="C21" i="37" s="1"/>
  <c r="C22" i="37" s="1"/>
  <c r="C23" i="37" s="1"/>
  <c r="C24" i="37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K11" i="37"/>
  <c r="I11" i="37"/>
  <c r="D8" i="37"/>
  <c r="D90" i="37"/>
  <c r="S51" i="17"/>
  <c r="M51" i="17"/>
  <c r="N99" i="31"/>
  <c r="O99" i="31" s="1"/>
  <c r="L99" i="31"/>
  <c r="M99" i="31" s="1"/>
  <c r="D96" i="31"/>
  <c r="M18" i="31"/>
  <c r="N18" i="31"/>
  <c r="K18" i="31"/>
  <c r="L18" i="31"/>
  <c r="M17" i="30"/>
  <c r="N17" i="30"/>
  <c r="K17" i="30"/>
  <c r="L17" i="30" s="1"/>
  <c r="N99" i="29"/>
  <c r="O99" i="29" s="1"/>
  <c r="L99" i="29"/>
  <c r="M99" i="29" s="1"/>
  <c r="M18" i="29"/>
  <c r="N18" i="29" s="1"/>
  <c r="K18" i="29"/>
  <c r="L18" i="29"/>
  <c r="N99" i="28"/>
  <c r="O99" i="28"/>
  <c r="L99" i="28"/>
  <c r="M99" i="28" s="1"/>
  <c r="M18" i="28"/>
  <c r="N18" i="28"/>
  <c r="K18" i="28"/>
  <c r="L18" i="28"/>
  <c r="N103" i="25"/>
  <c r="O103" i="25"/>
  <c r="L103" i="25"/>
  <c r="M103" i="25" s="1"/>
  <c r="M22" i="25"/>
  <c r="N22" i="25" s="1"/>
  <c r="K22" i="25"/>
  <c r="L22" i="25" s="1"/>
  <c r="N101" i="24"/>
  <c r="O101" i="24" s="1"/>
  <c r="L101" i="24"/>
  <c r="M101" i="24" s="1"/>
  <c r="M20" i="24"/>
  <c r="N20" i="24" s="1"/>
  <c r="O20" i="24" s="1"/>
  <c r="K20" i="24"/>
  <c r="L20" i="24"/>
  <c r="M21" i="23"/>
  <c r="N21" i="23"/>
  <c r="K21" i="23"/>
  <c r="L21" i="23"/>
  <c r="N102" i="23"/>
  <c r="O102" i="23"/>
  <c r="L102" i="23"/>
  <c r="M102" i="23"/>
  <c r="N103" i="22"/>
  <c r="O103" i="22"/>
  <c r="L103" i="22"/>
  <c r="M103" i="22"/>
  <c r="M22" i="22"/>
  <c r="N22" i="22"/>
  <c r="K22" i="22"/>
  <c r="L22" i="22"/>
  <c r="N106" i="11"/>
  <c r="O106" i="11"/>
  <c r="L106" i="11"/>
  <c r="M106" i="11"/>
  <c r="M25" i="11"/>
  <c r="N25" i="11"/>
  <c r="K25" i="11"/>
  <c r="L25" i="11"/>
  <c r="N107" i="10"/>
  <c r="O107" i="10"/>
  <c r="L107" i="10"/>
  <c r="M107" i="10"/>
  <c r="M26" i="10"/>
  <c r="N26" i="10"/>
  <c r="K26" i="10"/>
  <c r="L26" i="10"/>
  <c r="N106" i="9"/>
  <c r="O106" i="9"/>
  <c r="P106" i="9" s="1"/>
  <c r="L106" i="9"/>
  <c r="M106" i="9" s="1"/>
  <c r="M25" i="9"/>
  <c r="N25" i="9" s="1"/>
  <c r="K25" i="9"/>
  <c r="L25" i="9" s="1"/>
  <c r="N105" i="8"/>
  <c r="O105" i="8" s="1"/>
  <c r="L105" i="8"/>
  <c r="M105" i="8" s="1"/>
  <c r="M24" i="8"/>
  <c r="N24" i="8" s="1"/>
  <c r="K24" i="8"/>
  <c r="N107" i="7"/>
  <c r="O107" i="7"/>
  <c r="L107" i="7"/>
  <c r="M107" i="7"/>
  <c r="M26" i="7"/>
  <c r="N26" i="7"/>
  <c r="K26" i="7"/>
  <c r="L26" i="7"/>
  <c r="N105" i="6"/>
  <c r="O105" i="6"/>
  <c r="L105" i="6"/>
  <c r="M105" i="6"/>
  <c r="M24" i="6"/>
  <c r="N24" i="6"/>
  <c r="K24" i="6"/>
  <c r="L24" i="6"/>
  <c r="N104" i="5"/>
  <c r="O104" i="5"/>
  <c r="L104" i="5"/>
  <c r="M104" i="5"/>
  <c r="M23" i="5"/>
  <c r="N23" i="5"/>
  <c r="K23" i="5"/>
  <c r="L23" i="5"/>
  <c r="N104" i="4"/>
  <c r="O104" i="4"/>
  <c r="L104" i="4"/>
  <c r="M104" i="4"/>
  <c r="M23" i="4"/>
  <c r="N23" i="4"/>
  <c r="K23" i="4"/>
  <c r="L23" i="4"/>
  <c r="N104" i="3"/>
  <c r="O104" i="3"/>
  <c r="P104" i="3" s="1"/>
  <c r="L104" i="3"/>
  <c r="M104" i="3" s="1"/>
  <c r="M23" i="3"/>
  <c r="N23" i="3" s="1"/>
  <c r="O23" i="3" s="1"/>
  <c r="K23" i="3"/>
  <c r="L23" i="3" s="1"/>
  <c r="N100" i="27"/>
  <c r="O100" i="27"/>
  <c r="P100" i="27" s="1"/>
  <c r="L100" i="27"/>
  <c r="M100" i="27" s="1"/>
  <c r="N99" i="27"/>
  <c r="O99" i="27" s="1"/>
  <c r="L99" i="27"/>
  <c r="M99" i="27" s="1"/>
  <c r="M19" i="27"/>
  <c r="N19" i="27" s="1"/>
  <c r="O19" i="27" s="1"/>
  <c r="L19" i="27"/>
  <c r="K19" i="27"/>
  <c r="M17" i="31"/>
  <c r="N17" i="31"/>
  <c r="O17" i="31" s="1"/>
  <c r="K17" i="31"/>
  <c r="L17" i="31" s="1"/>
  <c r="W34" i="17"/>
  <c r="P34" i="17"/>
  <c r="P154" i="31"/>
  <c r="O154" i="31"/>
  <c r="M154" i="31"/>
  <c r="P153" i="31"/>
  <c r="O153" i="31"/>
  <c r="M153" i="31"/>
  <c r="P152" i="31"/>
  <c r="O152" i="31"/>
  <c r="M152" i="31"/>
  <c r="P151" i="31"/>
  <c r="O151" i="31"/>
  <c r="M151" i="31"/>
  <c r="P150" i="31"/>
  <c r="O150" i="31"/>
  <c r="M150" i="31"/>
  <c r="P149" i="31"/>
  <c r="O149" i="31"/>
  <c r="M149" i="31"/>
  <c r="P148" i="31"/>
  <c r="O148" i="31"/>
  <c r="M148" i="31"/>
  <c r="P147" i="31"/>
  <c r="O147" i="31"/>
  <c r="M147" i="31"/>
  <c r="P146" i="31"/>
  <c r="O146" i="31"/>
  <c r="M146" i="31"/>
  <c r="P145" i="31"/>
  <c r="O145" i="31"/>
  <c r="M145" i="31"/>
  <c r="P144" i="31"/>
  <c r="O144" i="31"/>
  <c r="M144" i="31"/>
  <c r="P143" i="31"/>
  <c r="O143" i="31"/>
  <c r="M143" i="31"/>
  <c r="P142" i="31"/>
  <c r="O142" i="31"/>
  <c r="M142" i="31"/>
  <c r="P141" i="31"/>
  <c r="O141" i="31"/>
  <c r="M141" i="31"/>
  <c r="P140" i="31"/>
  <c r="O140" i="31"/>
  <c r="M140" i="31"/>
  <c r="P139" i="31"/>
  <c r="O139" i="31"/>
  <c r="M139" i="31"/>
  <c r="P138" i="31"/>
  <c r="O138" i="31"/>
  <c r="M138" i="31"/>
  <c r="P137" i="31"/>
  <c r="O137" i="31"/>
  <c r="M137" i="31"/>
  <c r="P136" i="31"/>
  <c r="O136" i="31"/>
  <c r="M136" i="31"/>
  <c r="P135" i="31"/>
  <c r="O135" i="31"/>
  <c r="M135" i="31"/>
  <c r="P134" i="31"/>
  <c r="O134" i="31"/>
  <c r="M134" i="31"/>
  <c r="P133" i="31"/>
  <c r="O133" i="31"/>
  <c r="M133" i="31"/>
  <c r="P132" i="31"/>
  <c r="O132" i="31"/>
  <c r="M132" i="31"/>
  <c r="P131" i="31"/>
  <c r="O131" i="31"/>
  <c r="M131" i="31"/>
  <c r="O130" i="31"/>
  <c r="M130" i="31"/>
  <c r="O129" i="31"/>
  <c r="M129" i="31"/>
  <c r="O128" i="31"/>
  <c r="M128" i="31"/>
  <c r="O127" i="31"/>
  <c r="M127" i="31"/>
  <c r="O126" i="31"/>
  <c r="M126" i="31"/>
  <c r="O125" i="31"/>
  <c r="M125" i="31"/>
  <c r="O124" i="31"/>
  <c r="M124" i="31"/>
  <c r="O123" i="31"/>
  <c r="M123" i="31"/>
  <c r="O122" i="31"/>
  <c r="M122" i="31"/>
  <c r="O121" i="31"/>
  <c r="M121" i="31"/>
  <c r="O120" i="31"/>
  <c r="M120" i="31"/>
  <c r="O119" i="31"/>
  <c r="M119" i="31"/>
  <c r="O118" i="31"/>
  <c r="M118" i="31"/>
  <c r="O117" i="31"/>
  <c r="M117" i="31"/>
  <c r="O116" i="31"/>
  <c r="M116" i="31"/>
  <c r="O115" i="31"/>
  <c r="M115" i="31"/>
  <c r="O114" i="31"/>
  <c r="M114" i="31"/>
  <c r="O113" i="31"/>
  <c r="M113" i="31"/>
  <c r="O112" i="31"/>
  <c r="M112" i="31"/>
  <c r="O111" i="31"/>
  <c r="M111" i="31"/>
  <c r="O110" i="31"/>
  <c r="M110" i="31"/>
  <c r="O109" i="31"/>
  <c r="M109" i="31"/>
  <c r="O108" i="31"/>
  <c r="M108" i="31"/>
  <c r="O107" i="31"/>
  <c r="M107" i="31"/>
  <c r="O106" i="31"/>
  <c r="M106" i="31"/>
  <c r="O105" i="31"/>
  <c r="O104" i="31"/>
  <c r="L93" i="31"/>
  <c r="J93" i="31"/>
  <c r="E91" i="31"/>
  <c r="D91" i="31"/>
  <c r="D89" i="31"/>
  <c r="N72" i="31"/>
  <c r="L72" i="31"/>
  <c r="N71" i="31"/>
  <c r="L71" i="31"/>
  <c r="N70" i="31"/>
  <c r="L70" i="31"/>
  <c r="N69" i="31"/>
  <c r="L69" i="31"/>
  <c r="N68" i="31"/>
  <c r="L68" i="31"/>
  <c r="N67" i="31"/>
  <c r="L67" i="31"/>
  <c r="N66" i="31"/>
  <c r="L66" i="31"/>
  <c r="N65" i="31"/>
  <c r="L65" i="31"/>
  <c r="N64" i="31"/>
  <c r="L64" i="31"/>
  <c r="N63" i="31"/>
  <c r="L63" i="31"/>
  <c r="N62" i="31"/>
  <c r="L62" i="31"/>
  <c r="N61" i="31"/>
  <c r="L61" i="31"/>
  <c r="N60" i="31"/>
  <c r="L60" i="31"/>
  <c r="N59" i="31"/>
  <c r="L59" i="31"/>
  <c r="N58" i="31"/>
  <c r="L58" i="31"/>
  <c r="N57" i="31"/>
  <c r="L57" i="31"/>
  <c r="N56" i="31"/>
  <c r="L56" i="31"/>
  <c r="N55" i="31"/>
  <c r="L55" i="31"/>
  <c r="N54" i="31"/>
  <c r="L54" i="31"/>
  <c r="N53" i="31"/>
  <c r="L53" i="31"/>
  <c r="N52" i="31"/>
  <c r="L52" i="31"/>
  <c r="N51" i="31"/>
  <c r="L51" i="31"/>
  <c r="N50" i="31"/>
  <c r="L50" i="31"/>
  <c r="N49" i="31"/>
  <c r="L49" i="31"/>
  <c r="N48" i="31"/>
  <c r="L48" i="31"/>
  <c r="N47" i="31"/>
  <c r="L47" i="31"/>
  <c r="N46" i="31"/>
  <c r="L46" i="31"/>
  <c r="N45" i="31"/>
  <c r="L45" i="31"/>
  <c r="N44" i="31"/>
  <c r="L44" i="31"/>
  <c r="N43" i="31"/>
  <c r="L43" i="31"/>
  <c r="N42" i="31"/>
  <c r="L42" i="31"/>
  <c r="N41" i="31"/>
  <c r="L41" i="31"/>
  <c r="N40" i="31"/>
  <c r="L40" i="31"/>
  <c r="N39" i="31"/>
  <c r="L39" i="31"/>
  <c r="N38" i="31"/>
  <c r="L38" i="31"/>
  <c r="N37" i="31"/>
  <c r="L37" i="31"/>
  <c r="N36" i="31"/>
  <c r="L36" i="31"/>
  <c r="N35" i="31"/>
  <c r="L35" i="31"/>
  <c r="N34" i="31"/>
  <c r="L34" i="31"/>
  <c r="N33" i="31"/>
  <c r="L33" i="31"/>
  <c r="N32" i="31"/>
  <c r="L32" i="31"/>
  <c r="N31" i="31"/>
  <c r="L31" i="31"/>
  <c r="N30" i="31"/>
  <c r="L30" i="31"/>
  <c r="N29" i="31"/>
  <c r="L29" i="31"/>
  <c r="N28" i="31"/>
  <c r="L28" i="31"/>
  <c r="N27" i="31"/>
  <c r="L27" i="31"/>
  <c r="N26" i="31"/>
  <c r="L26" i="31"/>
  <c r="N25" i="31"/>
  <c r="L25" i="31"/>
  <c r="N24" i="31"/>
  <c r="N23" i="31"/>
  <c r="N22" i="31"/>
  <c r="C34" i="31"/>
  <c r="C35" i="31" s="1"/>
  <c r="C36" i="31" s="1"/>
  <c r="C37" i="31" s="1"/>
  <c r="C38" i="31" s="1"/>
  <c r="C39" i="31" s="1"/>
  <c r="C40" i="31" s="1"/>
  <c r="C41" i="31" s="1"/>
  <c r="C42" i="31" s="1"/>
  <c r="C43" i="31" s="1"/>
  <c r="C44" i="31" s="1"/>
  <c r="C45" i="31" s="1"/>
  <c r="C46" i="31" s="1"/>
  <c r="C47" i="31" s="1"/>
  <c r="C48" i="31" s="1"/>
  <c r="C49" i="31" s="1"/>
  <c r="C50" i="31" s="1"/>
  <c r="C51" i="31" s="1"/>
  <c r="C52" i="31" s="1"/>
  <c r="C53" i="31" s="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29" i="31" s="1"/>
  <c r="C30" i="31" s="1"/>
  <c r="C31" i="31" s="1"/>
  <c r="C32" i="31" s="1"/>
  <c r="C33" i="31" s="1"/>
  <c r="K11" i="31"/>
  <c r="I11" i="31"/>
  <c r="P1" i="31"/>
  <c r="P83" i="31" s="1"/>
  <c r="P154" i="30"/>
  <c r="O154" i="30"/>
  <c r="M154" i="30"/>
  <c r="P153" i="30"/>
  <c r="O153" i="30"/>
  <c r="M153" i="30"/>
  <c r="P152" i="30"/>
  <c r="O152" i="30"/>
  <c r="M152" i="30"/>
  <c r="P151" i="30"/>
  <c r="O151" i="30"/>
  <c r="M151" i="30"/>
  <c r="P150" i="30"/>
  <c r="O150" i="30"/>
  <c r="M150" i="30"/>
  <c r="P149" i="30"/>
  <c r="O149" i="30"/>
  <c r="M149" i="30"/>
  <c r="P148" i="30"/>
  <c r="O148" i="30"/>
  <c r="M148" i="30"/>
  <c r="P147" i="30"/>
  <c r="O147" i="30"/>
  <c r="M147" i="30"/>
  <c r="P146" i="30"/>
  <c r="O146" i="30"/>
  <c r="M146" i="30"/>
  <c r="P145" i="30"/>
  <c r="O145" i="30"/>
  <c r="M145" i="30"/>
  <c r="P144" i="30"/>
  <c r="O144" i="30"/>
  <c r="M144" i="30"/>
  <c r="P143" i="30"/>
  <c r="O143" i="30"/>
  <c r="M143" i="30"/>
  <c r="P142" i="30"/>
  <c r="O142" i="30"/>
  <c r="M142" i="30"/>
  <c r="P141" i="30"/>
  <c r="O141" i="30"/>
  <c r="M141" i="30"/>
  <c r="P140" i="30"/>
  <c r="O140" i="30"/>
  <c r="M140" i="30"/>
  <c r="P139" i="30"/>
  <c r="O139" i="30"/>
  <c r="M139" i="30"/>
  <c r="P138" i="30"/>
  <c r="O138" i="30"/>
  <c r="M138" i="30"/>
  <c r="P137" i="30"/>
  <c r="O137" i="30"/>
  <c r="M137" i="30"/>
  <c r="P136" i="30"/>
  <c r="O136" i="30"/>
  <c r="M136" i="30"/>
  <c r="P135" i="30"/>
  <c r="O135" i="30"/>
  <c r="M135" i="30"/>
  <c r="P134" i="30"/>
  <c r="O134" i="30"/>
  <c r="M134" i="30"/>
  <c r="P133" i="30"/>
  <c r="O133" i="30"/>
  <c r="M133" i="30"/>
  <c r="P132" i="30"/>
  <c r="O132" i="30"/>
  <c r="M132" i="30"/>
  <c r="P131" i="30"/>
  <c r="O131" i="30"/>
  <c r="M131" i="30"/>
  <c r="O130" i="30"/>
  <c r="M130" i="30"/>
  <c r="O129" i="30"/>
  <c r="M129" i="30"/>
  <c r="O128" i="30"/>
  <c r="M128" i="30"/>
  <c r="O127" i="30"/>
  <c r="M127" i="30"/>
  <c r="O126" i="30"/>
  <c r="M126" i="30"/>
  <c r="O125" i="30"/>
  <c r="M125" i="30"/>
  <c r="O124" i="30"/>
  <c r="M124" i="30"/>
  <c r="O123" i="30"/>
  <c r="M123" i="30"/>
  <c r="O122" i="30"/>
  <c r="M122" i="30"/>
  <c r="O121" i="30"/>
  <c r="M121" i="30"/>
  <c r="O120" i="30"/>
  <c r="M120" i="30"/>
  <c r="O119" i="30"/>
  <c r="M119" i="30"/>
  <c r="O118" i="30"/>
  <c r="M118" i="30"/>
  <c r="O117" i="30"/>
  <c r="M117" i="30"/>
  <c r="O116" i="30"/>
  <c r="M116" i="30"/>
  <c r="O115" i="30"/>
  <c r="M115" i="30"/>
  <c r="O114" i="30"/>
  <c r="M114" i="30"/>
  <c r="O113" i="30"/>
  <c r="M113" i="30"/>
  <c r="O112" i="30"/>
  <c r="M112" i="30"/>
  <c r="O111" i="30"/>
  <c r="M111" i="30"/>
  <c r="O110" i="30"/>
  <c r="M110" i="30"/>
  <c r="O109" i="30"/>
  <c r="M109" i="30"/>
  <c r="O108" i="30"/>
  <c r="M108" i="30"/>
  <c r="O107" i="30"/>
  <c r="M107" i="30"/>
  <c r="O106" i="30"/>
  <c r="M106" i="30"/>
  <c r="O105" i="30"/>
  <c r="M105" i="30"/>
  <c r="O104" i="30"/>
  <c r="O103" i="30"/>
  <c r="O99" i="30"/>
  <c r="D96" i="30"/>
  <c r="L93" i="30"/>
  <c r="J93" i="30"/>
  <c r="E91" i="30"/>
  <c r="D91" i="30"/>
  <c r="D89" i="30"/>
  <c r="N72" i="30"/>
  <c r="L72" i="30"/>
  <c r="N71" i="30"/>
  <c r="L71" i="30"/>
  <c r="N70" i="30"/>
  <c r="L70" i="30"/>
  <c r="N69" i="30"/>
  <c r="L69" i="30"/>
  <c r="N68" i="30"/>
  <c r="L68" i="30"/>
  <c r="N67" i="30"/>
  <c r="L67" i="30"/>
  <c r="N66" i="30"/>
  <c r="L66" i="30"/>
  <c r="N65" i="30"/>
  <c r="L65" i="30"/>
  <c r="N64" i="30"/>
  <c r="L64" i="30"/>
  <c r="N63" i="30"/>
  <c r="L63" i="30"/>
  <c r="N62" i="30"/>
  <c r="L62" i="30"/>
  <c r="N61" i="30"/>
  <c r="L61" i="30"/>
  <c r="N60" i="30"/>
  <c r="L60" i="30"/>
  <c r="N59" i="30"/>
  <c r="L59" i="30"/>
  <c r="N58" i="30"/>
  <c r="L58" i="30"/>
  <c r="N57" i="30"/>
  <c r="L57" i="30"/>
  <c r="N56" i="30"/>
  <c r="L56" i="30"/>
  <c r="N55" i="30"/>
  <c r="L55" i="30"/>
  <c r="N54" i="30"/>
  <c r="L54" i="30"/>
  <c r="N53" i="30"/>
  <c r="L53" i="30"/>
  <c r="N52" i="30"/>
  <c r="L52" i="30"/>
  <c r="N51" i="30"/>
  <c r="L51" i="30"/>
  <c r="N50" i="30"/>
  <c r="L50" i="30"/>
  <c r="N49" i="30"/>
  <c r="L49" i="30"/>
  <c r="N48" i="30"/>
  <c r="L48" i="30"/>
  <c r="N47" i="30"/>
  <c r="L47" i="30"/>
  <c r="N46" i="30"/>
  <c r="L46" i="30"/>
  <c r="N45" i="30"/>
  <c r="L45" i="30"/>
  <c r="N44" i="30"/>
  <c r="L44" i="30"/>
  <c r="N43" i="30"/>
  <c r="L43" i="30"/>
  <c r="N42" i="30"/>
  <c r="L42" i="30"/>
  <c r="N41" i="30"/>
  <c r="L41" i="30"/>
  <c r="N40" i="30"/>
  <c r="L40" i="30"/>
  <c r="N39" i="30"/>
  <c r="L39" i="30"/>
  <c r="N38" i="30"/>
  <c r="L38" i="30"/>
  <c r="N37" i="30"/>
  <c r="L37" i="30"/>
  <c r="N36" i="30"/>
  <c r="L36" i="30"/>
  <c r="N35" i="30"/>
  <c r="L35" i="30"/>
  <c r="N34" i="30"/>
  <c r="L34" i="30"/>
  <c r="N33" i="30"/>
  <c r="L33" i="30"/>
  <c r="N32" i="30"/>
  <c r="L32" i="30"/>
  <c r="N31" i="30"/>
  <c r="L31" i="30"/>
  <c r="N30" i="30"/>
  <c r="L30" i="30"/>
  <c r="N29" i="30"/>
  <c r="L29" i="30"/>
  <c r="N28" i="30"/>
  <c r="L28" i="30"/>
  <c r="N27" i="30"/>
  <c r="L27" i="30"/>
  <c r="N26" i="30"/>
  <c r="L26" i="30"/>
  <c r="N25" i="30"/>
  <c r="L25" i="30"/>
  <c r="N24" i="30"/>
  <c r="L24" i="30"/>
  <c r="N23" i="30"/>
  <c r="N22" i="30"/>
  <c r="N21" i="30"/>
  <c r="C17" i="30"/>
  <c r="C18" i="30" s="1"/>
  <c r="C19" i="30" s="1"/>
  <c r="C20" i="30" s="1"/>
  <c r="C21" i="30"/>
  <c r="C22" i="30" s="1"/>
  <c r="C23" i="30" s="1"/>
  <c r="C24" i="30" s="1"/>
  <c r="C25" i="30" s="1"/>
  <c r="C26" i="30" s="1"/>
  <c r="C27" i="30" s="1"/>
  <c r="C28" i="30" s="1"/>
  <c r="C29" i="30" s="1"/>
  <c r="C30" i="30" s="1"/>
  <c r="C31" i="30" s="1"/>
  <c r="C32" i="30" s="1"/>
  <c r="C33" i="30" s="1"/>
  <c r="C34" i="30" s="1"/>
  <c r="C35" i="30" s="1"/>
  <c r="C36" i="30" s="1"/>
  <c r="C37" i="30" s="1"/>
  <c r="C38" i="30" s="1"/>
  <c r="C39" i="30" s="1"/>
  <c r="C40" i="30" s="1"/>
  <c r="C41" i="30" s="1"/>
  <c r="C42" i="30" s="1"/>
  <c r="C43" i="30" s="1"/>
  <c r="C44" i="30" s="1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C61" i="30" s="1"/>
  <c r="C62" i="30" s="1"/>
  <c r="C63" i="30" s="1"/>
  <c r="C64" i="30" s="1"/>
  <c r="C65" i="30" s="1"/>
  <c r="C66" i="30" s="1"/>
  <c r="C67" i="30" s="1"/>
  <c r="C68" i="30" s="1"/>
  <c r="C69" i="30" s="1"/>
  <c r="C70" i="30" s="1"/>
  <c r="C71" i="30" s="1"/>
  <c r="C72" i="30" s="1"/>
  <c r="K11" i="30"/>
  <c r="I11" i="30"/>
  <c r="D8" i="30"/>
  <c r="D90" i="30" s="1"/>
  <c r="P1" i="30"/>
  <c r="P83" i="30" s="1"/>
  <c r="M17" i="29"/>
  <c r="N17" i="29" s="1"/>
  <c r="O17" i="29" s="1"/>
  <c r="K17" i="29"/>
  <c r="L17" i="29"/>
  <c r="M17" i="28"/>
  <c r="N17" i="28"/>
  <c r="K17" i="28"/>
  <c r="L17" i="28" s="1"/>
  <c r="N102" i="25"/>
  <c r="O102" i="25"/>
  <c r="P102" i="25" s="1"/>
  <c r="L102" i="25"/>
  <c r="M102" i="25" s="1"/>
  <c r="M21" i="25"/>
  <c r="N21" i="25" s="1"/>
  <c r="K21" i="25"/>
  <c r="L21" i="25"/>
  <c r="N100" i="24"/>
  <c r="O100" i="24"/>
  <c r="L100" i="24"/>
  <c r="M100" i="24"/>
  <c r="M19" i="24"/>
  <c r="N19" i="24"/>
  <c r="K19" i="24"/>
  <c r="L19" i="24" s="1"/>
  <c r="N101" i="23"/>
  <c r="O101" i="23" s="1"/>
  <c r="P101" i="23" s="1"/>
  <c r="L101" i="23"/>
  <c r="M101" i="23"/>
  <c r="M20" i="23"/>
  <c r="N20" i="23"/>
  <c r="O20" i="23" s="1"/>
  <c r="K20" i="23"/>
  <c r="L20" i="23"/>
  <c r="N102" i="22"/>
  <c r="O102" i="22"/>
  <c r="P102" i="22" s="1"/>
  <c r="L102" i="22"/>
  <c r="M102" i="22" s="1"/>
  <c r="M21" i="22"/>
  <c r="N21" i="22" s="1"/>
  <c r="O21" i="22" s="1"/>
  <c r="K21" i="22"/>
  <c r="L21" i="22" s="1"/>
  <c r="N105" i="11"/>
  <c r="O105" i="11" s="1"/>
  <c r="P105" i="11"/>
  <c r="L105" i="11"/>
  <c r="M105" i="11"/>
  <c r="M24" i="11"/>
  <c r="K24" i="11"/>
  <c r="L24" i="11" s="1"/>
  <c r="N106" i="10"/>
  <c r="O106" i="10" s="1"/>
  <c r="P106" i="10" s="1"/>
  <c r="L106" i="10"/>
  <c r="M106" i="10" s="1"/>
  <c r="M25" i="10"/>
  <c r="N25" i="10"/>
  <c r="K25" i="10"/>
  <c r="L25" i="10" s="1"/>
  <c r="N105" i="9"/>
  <c r="O105" i="9"/>
  <c r="P105" i="9" s="1"/>
  <c r="L105" i="9"/>
  <c r="M105" i="9"/>
  <c r="M24" i="9"/>
  <c r="N24" i="9" s="1"/>
  <c r="K24" i="9"/>
  <c r="L24" i="9" s="1"/>
  <c r="N104" i="8"/>
  <c r="O104" i="8" s="1"/>
  <c r="P104" i="8" s="1"/>
  <c r="L104" i="8"/>
  <c r="M104" i="8" s="1"/>
  <c r="M23" i="8"/>
  <c r="N23" i="8" s="1"/>
  <c r="O23" i="8" s="1"/>
  <c r="K23" i="8"/>
  <c r="L23" i="8" s="1"/>
  <c r="N106" i="7"/>
  <c r="O106" i="7" s="1"/>
  <c r="L106" i="7"/>
  <c r="M106" i="7" s="1"/>
  <c r="M25" i="7"/>
  <c r="N25" i="7" s="1"/>
  <c r="O25" i="7" s="1"/>
  <c r="K25" i="7"/>
  <c r="L25" i="7"/>
  <c r="N104" i="6"/>
  <c r="O104" i="6"/>
  <c r="L104" i="6"/>
  <c r="M104" i="6" s="1"/>
  <c r="M23" i="6"/>
  <c r="N23" i="6" s="1"/>
  <c r="K23" i="6"/>
  <c r="L23" i="6" s="1"/>
  <c r="N103" i="5"/>
  <c r="O103" i="5" s="1"/>
  <c r="L103" i="5"/>
  <c r="M103" i="5"/>
  <c r="M22" i="5"/>
  <c r="N22" i="5" s="1"/>
  <c r="O22" i="5" s="1"/>
  <c r="K22" i="5"/>
  <c r="L22" i="5" s="1"/>
  <c r="N103" i="4"/>
  <c r="O103" i="4" s="1"/>
  <c r="P103" i="4" s="1"/>
  <c r="M103" i="4"/>
  <c r="L103" i="4"/>
  <c r="M22" i="4"/>
  <c r="N22" i="4"/>
  <c r="K22" i="4"/>
  <c r="L22" i="4" s="1"/>
  <c r="N103" i="3"/>
  <c r="O103" i="3"/>
  <c r="P103" i="3"/>
  <c r="L103" i="3"/>
  <c r="M103" i="3" s="1"/>
  <c r="M22" i="3"/>
  <c r="K22" i="3"/>
  <c r="L22" i="3" s="1"/>
  <c r="D8" i="13"/>
  <c r="D10" i="23"/>
  <c r="D92" i="23" s="1"/>
  <c r="P1" i="29"/>
  <c r="P83" i="29" s="1"/>
  <c r="P1" i="28"/>
  <c r="P83" i="28" s="1"/>
  <c r="P1" i="27"/>
  <c r="P83" i="27" s="1"/>
  <c r="D8" i="29"/>
  <c r="D90" i="29"/>
  <c r="D8" i="28"/>
  <c r="D90" i="28"/>
  <c r="D8" i="27"/>
  <c r="D90" i="27"/>
  <c r="D8" i="25"/>
  <c r="D8" i="24"/>
  <c r="D8" i="22"/>
  <c r="D8" i="11"/>
  <c r="D8" i="10"/>
  <c r="E91" i="28"/>
  <c r="E91" i="29"/>
  <c r="W33" i="17"/>
  <c r="P33" i="17"/>
  <c r="W32" i="17"/>
  <c r="P32" i="17"/>
  <c r="N102" i="5"/>
  <c r="O102" i="5" s="1"/>
  <c r="L102" i="5"/>
  <c r="M102" i="5" s="1"/>
  <c r="P154" i="29"/>
  <c r="O154" i="29"/>
  <c r="M154" i="29"/>
  <c r="P153" i="29"/>
  <c r="O153" i="29"/>
  <c r="M153" i="29"/>
  <c r="P152" i="29"/>
  <c r="O152" i="29"/>
  <c r="M152" i="29"/>
  <c r="P151" i="29"/>
  <c r="O151" i="29"/>
  <c r="M151" i="29"/>
  <c r="P150" i="29"/>
  <c r="O150" i="29"/>
  <c r="M150" i="29"/>
  <c r="P149" i="29"/>
  <c r="O149" i="29"/>
  <c r="M149" i="29"/>
  <c r="P148" i="29"/>
  <c r="O148" i="29"/>
  <c r="M148" i="29"/>
  <c r="P147" i="29"/>
  <c r="O147" i="29"/>
  <c r="M147" i="29"/>
  <c r="P146" i="29"/>
  <c r="O146" i="29"/>
  <c r="M146" i="29"/>
  <c r="P145" i="29"/>
  <c r="O145" i="29"/>
  <c r="M145" i="29"/>
  <c r="P144" i="29"/>
  <c r="O144" i="29"/>
  <c r="M144" i="29"/>
  <c r="P143" i="29"/>
  <c r="O143" i="29"/>
  <c r="M143" i="29"/>
  <c r="P142" i="29"/>
  <c r="O142" i="29"/>
  <c r="M142" i="29"/>
  <c r="P141" i="29"/>
  <c r="O141" i="29"/>
  <c r="M141" i="29"/>
  <c r="P140" i="29"/>
  <c r="O140" i="29"/>
  <c r="M140" i="29"/>
  <c r="P139" i="29"/>
  <c r="O139" i="29"/>
  <c r="M139" i="29"/>
  <c r="P138" i="29"/>
  <c r="O138" i="29"/>
  <c r="M138" i="29"/>
  <c r="P137" i="29"/>
  <c r="O137" i="29"/>
  <c r="M137" i="29"/>
  <c r="P136" i="29"/>
  <c r="O136" i="29"/>
  <c r="M136" i="29"/>
  <c r="P135" i="29"/>
  <c r="O135" i="29"/>
  <c r="M135" i="29"/>
  <c r="P134" i="29"/>
  <c r="O134" i="29"/>
  <c r="M134" i="29"/>
  <c r="P133" i="29"/>
  <c r="O133" i="29"/>
  <c r="M133" i="29"/>
  <c r="P132" i="29"/>
  <c r="O132" i="29"/>
  <c r="M132" i="29"/>
  <c r="P131" i="29"/>
  <c r="O131" i="29"/>
  <c r="M131" i="29"/>
  <c r="O130" i="29"/>
  <c r="M130" i="29"/>
  <c r="O129" i="29"/>
  <c r="M129" i="29"/>
  <c r="O128" i="29"/>
  <c r="M128" i="29"/>
  <c r="O127" i="29"/>
  <c r="M127" i="29"/>
  <c r="O126" i="29"/>
  <c r="M126" i="29"/>
  <c r="O125" i="29"/>
  <c r="M125" i="29"/>
  <c r="O124" i="29"/>
  <c r="M124" i="29"/>
  <c r="O123" i="29"/>
  <c r="M123" i="29"/>
  <c r="O122" i="29"/>
  <c r="M122" i="29"/>
  <c r="O121" i="29"/>
  <c r="M121" i="29"/>
  <c r="O120" i="29"/>
  <c r="M120" i="29"/>
  <c r="O119" i="29"/>
  <c r="M119" i="29"/>
  <c r="O118" i="29"/>
  <c r="M118" i="29"/>
  <c r="O117" i="29"/>
  <c r="M117" i="29"/>
  <c r="O116" i="29"/>
  <c r="M116" i="29"/>
  <c r="O115" i="29"/>
  <c r="M115" i="29"/>
  <c r="O114" i="29"/>
  <c r="M114" i="29"/>
  <c r="O113" i="29"/>
  <c r="M113" i="29"/>
  <c r="O112" i="29"/>
  <c r="M112" i="29"/>
  <c r="O111" i="29"/>
  <c r="M111" i="29"/>
  <c r="O110" i="29"/>
  <c r="M110" i="29"/>
  <c r="O109" i="29"/>
  <c r="M109" i="29"/>
  <c r="O108" i="29"/>
  <c r="M108" i="29"/>
  <c r="O107" i="29"/>
  <c r="M107" i="29"/>
  <c r="O106" i="29"/>
  <c r="M106" i="29"/>
  <c r="O105" i="29"/>
  <c r="O104" i="29"/>
  <c r="D96" i="29"/>
  <c r="L93" i="29"/>
  <c r="J93" i="29"/>
  <c r="D91" i="29"/>
  <c r="D89" i="29"/>
  <c r="N72" i="29"/>
  <c r="L72" i="29"/>
  <c r="N71" i="29"/>
  <c r="L71" i="29"/>
  <c r="N70" i="29"/>
  <c r="L70" i="29"/>
  <c r="N69" i="29"/>
  <c r="L69" i="29"/>
  <c r="N68" i="29"/>
  <c r="L68" i="29"/>
  <c r="N67" i="29"/>
  <c r="L67" i="29"/>
  <c r="N66" i="29"/>
  <c r="L66" i="29"/>
  <c r="N65" i="29"/>
  <c r="L65" i="29"/>
  <c r="N64" i="29"/>
  <c r="L64" i="29"/>
  <c r="N63" i="29"/>
  <c r="L63" i="29"/>
  <c r="N62" i="29"/>
  <c r="L62" i="29"/>
  <c r="N61" i="29"/>
  <c r="L61" i="29"/>
  <c r="N60" i="29"/>
  <c r="L60" i="29"/>
  <c r="N59" i="29"/>
  <c r="L59" i="29"/>
  <c r="N58" i="29"/>
  <c r="L58" i="29"/>
  <c r="N57" i="29"/>
  <c r="L57" i="29"/>
  <c r="N56" i="29"/>
  <c r="L56" i="29"/>
  <c r="N55" i="29"/>
  <c r="L55" i="29"/>
  <c r="N54" i="29"/>
  <c r="L54" i="29"/>
  <c r="N53" i="29"/>
  <c r="L53" i="29"/>
  <c r="N52" i="29"/>
  <c r="L52" i="29"/>
  <c r="N51" i="29"/>
  <c r="L51" i="29"/>
  <c r="N50" i="29"/>
  <c r="L50" i="29"/>
  <c r="N49" i="29"/>
  <c r="L49" i="29"/>
  <c r="N48" i="29"/>
  <c r="L48" i="29"/>
  <c r="N47" i="29"/>
  <c r="L47" i="29"/>
  <c r="N46" i="29"/>
  <c r="L46" i="29"/>
  <c r="N45" i="29"/>
  <c r="L45" i="29"/>
  <c r="N44" i="29"/>
  <c r="L44" i="29"/>
  <c r="N43" i="29"/>
  <c r="L43" i="29"/>
  <c r="N42" i="29"/>
  <c r="L42" i="29"/>
  <c r="N41" i="29"/>
  <c r="L41" i="29"/>
  <c r="N40" i="29"/>
  <c r="L40" i="29"/>
  <c r="N39" i="29"/>
  <c r="L39" i="29"/>
  <c r="N38" i="29"/>
  <c r="L38" i="29"/>
  <c r="N37" i="29"/>
  <c r="L37" i="29"/>
  <c r="N36" i="29"/>
  <c r="L36" i="29"/>
  <c r="N35" i="29"/>
  <c r="L35" i="29"/>
  <c r="N34" i="29"/>
  <c r="L34" i="29"/>
  <c r="N33" i="29"/>
  <c r="L33" i="29"/>
  <c r="N32" i="29"/>
  <c r="L32" i="29"/>
  <c r="N31" i="29"/>
  <c r="L31" i="29"/>
  <c r="N30" i="29"/>
  <c r="L30" i="29"/>
  <c r="N29" i="29"/>
  <c r="L29" i="29"/>
  <c r="N28" i="29"/>
  <c r="L28" i="29"/>
  <c r="N27" i="29"/>
  <c r="L27" i="29"/>
  <c r="N26" i="29"/>
  <c r="L26" i="29"/>
  <c r="N25" i="29"/>
  <c r="L25" i="29"/>
  <c r="N24" i="29"/>
  <c r="N23" i="29"/>
  <c r="N22" i="29"/>
  <c r="C17" i="29"/>
  <c r="C18" i="29" s="1"/>
  <c r="C19" i="29" s="1"/>
  <c r="C20" i="29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34" i="29" s="1"/>
  <c r="C35" i="29" s="1"/>
  <c r="C36" i="29" s="1"/>
  <c r="C37" i="29" s="1"/>
  <c r="C38" i="29" s="1"/>
  <c r="C39" i="29" s="1"/>
  <c r="C40" i="29" s="1"/>
  <c r="C41" i="29" s="1"/>
  <c r="C42" i="29" s="1"/>
  <c r="C43" i="29" s="1"/>
  <c r="C44" i="29" s="1"/>
  <c r="C45" i="29" s="1"/>
  <c r="C46" i="29" s="1"/>
  <c r="K11" i="29"/>
  <c r="I11" i="29"/>
  <c r="P154" i="28"/>
  <c r="O154" i="28"/>
  <c r="M154" i="28"/>
  <c r="P153" i="28"/>
  <c r="O153" i="28"/>
  <c r="M153" i="28"/>
  <c r="P152" i="28"/>
  <c r="O152" i="28"/>
  <c r="M152" i="28"/>
  <c r="P151" i="28"/>
  <c r="O151" i="28"/>
  <c r="M151" i="28"/>
  <c r="P150" i="28"/>
  <c r="O150" i="28"/>
  <c r="M150" i="28"/>
  <c r="P149" i="28"/>
  <c r="O149" i="28"/>
  <c r="M149" i="28"/>
  <c r="P148" i="28"/>
  <c r="O148" i="28"/>
  <c r="M148" i="28"/>
  <c r="P147" i="28"/>
  <c r="O147" i="28"/>
  <c r="M147" i="28"/>
  <c r="P146" i="28"/>
  <c r="O146" i="28"/>
  <c r="M146" i="28"/>
  <c r="P145" i="28"/>
  <c r="O145" i="28"/>
  <c r="M145" i="28"/>
  <c r="P144" i="28"/>
  <c r="O144" i="28"/>
  <c r="M144" i="28"/>
  <c r="P143" i="28"/>
  <c r="O143" i="28"/>
  <c r="M143" i="28"/>
  <c r="P142" i="28"/>
  <c r="O142" i="28"/>
  <c r="M142" i="28"/>
  <c r="P141" i="28"/>
  <c r="O141" i="28"/>
  <c r="M141" i="28"/>
  <c r="P140" i="28"/>
  <c r="O140" i="28"/>
  <c r="M140" i="28"/>
  <c r="P139" i="28"/>
  <c r="O139" i="28"/>
  <c r="M139" i="28"/>
  <c r="P138" i="28"/>
  <c r="O138" i="28"/>
  <c r="M138" i="28"/>
  <c r="P137" i="28"/>
  <c r="O137" i="28"/>
  <c r="M137" i="28"/>
  <c r="P136" i="28"/>
  <c r="O136" i="28"/>
  <c r="M136" i="28"/>
  <c r="P135" i="28"/>
  <c r="O135" i="28"/>
  <c r="M135" i="28"/>
  <c r="P134" i="28"/>
  <c r="O134" i="28"/>
  <c r="M134" i="28"/>
  <c r="P133" i="28"/>
  <c r="O133" i="28"/>
  <c r="M133" i="28"/>
  <c r="P132" i="28"/>
  <c r="O132" i="28"/>
  <c r="M132" i="28"/>
  <c r="P131" i="28"/>
  <c r="O131" i="28"/>
  <c r="M131" i="28"/>
  <c r="O130" i="28"/>
  <c r="M130" i="28"/>
  <c r="O129" i="28"/>
  <c r="M129" i="28"/>
  <c r="O128" i="28"/>
  <c r="M128" i="28"/>
  <c r="O127" i="28"/>
  <c r="M127" i="28"/>
  <c r="O126" i="28"/>
  <c r="M126" i="28"/>
  <c r="O125" i="28"/>
  <c r="M125" i="28"/>
  <c r="O124" i="28"/>
  <c r="M124" i="28"/>
  <c r="O123" i="28"/>
  <c r="M123" i="28"/>
  <c r="O122" i="28"/>
  <c r="M122" i="28"/>
  <c r="O121" i="28"/>
  <c r="M121" i="28"/>
  <c r="O120" i="28"/>
  <c r="M120" i="28"/>
  <c r="O119" i="28"/>
  <c r="M119" i="28"/>
  <c r="O118" i="28"/>
  <c r="M118" i="28"/>
  <c r="O117" i="28"/>
  <c r="M117" i="28"/>
  <c r="O116" i="28"/>
  <c r="M116" i="28"/>
  <c r="O115" i="28"/>
  <c r="M115" i="28"/>
  <c r="O114" i="28"/>
  <c r="M114" i="28"/>
  <c r="O113" i="28"/>
  <c r="M113" i="28"/>
  <c r="O112" i="28"/>
  <c r="M112" i="28"/>
  <c r="O111" i="28"/>
  <c r="M111" i="28"/>
  <c r="O110" i="28"/>
  <c r="M110" i="28"/>
  <c r="O109" i="28"/>
  <c r="M109" i="28"/>
  <c r="O108" i="28"/>
  <c r="M108" i="28"/>
  <c r="O107" i="28"/>
  <c r="M107" i="28"/>
  <c r="O106" i="28"/>
  <c r="M106" i="28"/>
  <c r="O105" i="28"/>
  <c r="O104" i="28"/>
  <c r="D96" i="28"/>
  <c r="D94" i="28"/>
  <c r="L93" i="28"/>
  <c r="J93" i="28"/>
  <c r="C99" i="28"/>
  <c r="D92" i="28"/>
  <c r="D91" i="28"/>
  <c r="D89" i="28"/>
  <c r="N72" i="28"/>
  <c r="L72" i="28"/>
  <c r="N71" i="28"/>
  <c r="L71" i="28"/>
  <c r="N70" i="28"/>
  <c r="L70" i="28"/>
  <c r="N69" i="28"/>
  <c r="L69" i="28"/>
  <c r="N68" i="28"/>
  <c r="L68" i="28"/>
  <c r="N67" i="28"/>
  <c r="L67" i="28"/>
  <c r="N66" i="28"/>
  <c r="L66" i="28"/>
  <c r="N65" i="28"/>
  <c r="L65" i="28"/>
  <c r="N64" i="28"/>
  <c r="L64" i="28"/>
  <c r="N63" i="28"/>
  <c r="L63" i="28"/>
  <c r="N62" i="28"/>
  <c r="L62" i="28"/>
  <c r="N61" i="28"/>
  <c r="L61" i="28"/>
  <c r="N60" i="28"/>
  <c r="L60" i="28"/>
  <c r="N59" i="28"/>
  <c r="L59" i="28"/>
  <c r="N58" i="28"/>
  <c r="L58" i="28"/>
  <c r="N57" i="28"/>
  <c r="L57" i="28"/>
  <c r="N56" i="28"/>
  <c r="L56" i="28"/>
  <c r="N55" i="28"/>
  <c r="L55" i="28"/>
  <c r="N54" i="28"/>
  <c r="L54" i="28"/>
  <c r="N53" i="28"/>
  <c r="L53" i="28"/>
  <c r="N52" i="28"/>
  <c r="L52" i="28"/>
  <c r="N51" i="28"/>
  <c r="L51" i="28"/>
  <c r="N50" i="28"/>
  <c r="L50" i="28"/>
  <c r="N49" i="28"/>
  <c r="L49" i="28"/>
  <c r="N48" i="28"/>
  <c r="L48" i="28"/>
  <c r="N47" i="28"/>
  <c r="L47" i="28"/>
  <c r="N46" i="28"/>
  <c r="L46" i="28"/>
  <c r="N45" i="28"/>
  <c r="L45" i="28"/>
  <c r="N44" i="28"/>
  <c r="L44" i="28"/>
  <c r="N43" i="28"/>
  <c r="L43" i="28"/>
  <c r="N42" i="28"/>
  <c r="L42" i="28"/>
  <c r="N41" i="28"/>
  <c r="L41" i="28"/>
  <c r="N40" i="28"/>
  <c r="L40" i="28"/>
  <c r="N39" i="28"/>
  <c r="L39" i="28"/>
  <c r="N38" i="28"/>
  <c r="L38" i="28"/>
  <c r="N37" i="28"/>
  <c r="L37" i="28"/>
  <c r="N36" i="28"/>
  <c r="L36" i="28"/>
  <c r="N35" i="28"/>
  <c r="L35" i="28"/>
  <c r="N34" i="28"/>
  <c r="L34" i="28"/>
  <c r="N33" i="28"/>
  <c r="L33" i="28"/>
  <c r="N32" i="28"/>
  <c r="L32" i="28"/>
  <c r="N31" i="28"/>
  <c r="L31" i="28"/>
  <c r="N30" i="28"/>
  <c r="L30" i="28"/>
  <c r="N29" i="28"/>
  <c r="L29" i="28"/>
  <c r="N28" i="28"/>
  <c r="L28" i="28"/>
  <c r="N27" i="28"/>
  <c r="L27" i="28"/>
  <c r="N26" i="28"/>
  <c r="L26" i="28"/>
  <c r="N25" i="28"/>
  <c r="L25" i="28"/>
  <c r="N24" i="28"/>
  <c r="N23" i="28"/>
  <c r="N22" i="28"/>
  <c r="C17" i="28"/>
  <c r="C18" i="28"/>
  <c r="C19" i="28"/>
  <c r="C20" i="28"/>
  <c r="C21" i="28" s="1"/>
  <c r="C22" i="28" s="1"/>
  <c r="C23" i="28" s="1"/>
  <c r="C24" i="28"/>
  <c r="C25" i="28" s="1"/>
  <c r="C26" i="28" s="1"/>
  <c r="C27" i="28" s="1"/>
  <c r="C28" i="28" s="1"/>
  <c r="C29" i="28" s="1"/>
  <c r="C30" i="28" s="1"/>
  <c r="C31" i="28" s="1"/>
  <c r="C32" i="28" s="1"/>
  <c r="C33" i="28" s="1"/>
  <c r="C34" i="28" s="1"/>
  <c r="C35" i="28" s="1"/>
  <c r="C36" i="28" s="1"/>
  <c r="C37" i="28" s="1"/>
  <c r="C38" i="28" s="1"/>
  <c r="C39" i="28" s="1"/>
  <c r="C40" i="28"/>
  <c r="C41" i="28" s="1"/>
  <c r="C42" i="28" s="1"/>
  <c r="C43" i="28" s="1"/>
  <c r="C44" i="28" s="1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C58" i="28" s="1"/>
  <c r="C59" i="28" s="1"/>
  <c r="C60" i="28" s="1"/>
  <c r="C61" i="28" s="1"/>
  <c r="C62" i="28" s="1"/>
  <c r="C63" i="28" s="1"/>
  <c r="C64" i="28" s="1"/>
  <c r="C65" i="28" s="1"/>
  <c r="C66" i="28" s="1"/>
  <c r="C67" i="28" s="1"/>
  <c r="C68" i="28" s="1"/>
  <c r="C69" i="28" s="1"/>
  <c r="C70" i="28" s="1"/>
  <c r="C71" i="28" s="1"/>
  <c r="C72" i="28" s="1"/>
  <c r="K11" i="28"/>
  <c r="I11" i="28"/>
  <c r="D94" i="27"/>
  <c r="D92" i="27"/>
  <c r="M17" i="27"/>
  <c r="N17" i="27"/>
  <c r="K17" i="27"/>
  <c r="L17" i="27" s="1"/>
  <c r="O17" i="27" s="1"/>
  <c r="N101" i="25"/>
  <c r="O101" i="25"/>
  <c r="P101" i="25"/>
  <c r="L101" i="25"/>
  <c r="M101" i="25"/>
  <c r="N100" i="25"/>
  <c r="O100" i="25" s="1"/>
  <c r="L100" i="25"/>
  <c r="M100" i="25" s="1"/>
  <c r="N99" i="25"/>
  <c r="O99" i="25"/>
  <c r="L99" i="25"/>
  <c r="M99" i="25" s="1"/>
  <c r="M20" i="25"/>
  <c r="N20" i="25"/>
  <c r="O20" i="25" s="1"/>
  <c r="K20" i="25"/>
  <c r="L20" i="25"/>
  <c r="D92" i="24"/>
  <c r="N100" i="23"/>
  <c r="O100" i="23" s="1"/>
  <c r="L100" i="23"/>
  <c r="M100" i="23"/>
  <c r="M19" i="23"/>
  <c r="N19" i="23" s="1"/>
  <c r="K19" i="23"/>
  <c r="L19" i="23"/>
  <c r="N101" i="22"/>
  <c r="O101" i="22"/>
  <c r="L101" i="22"/>
  <c r="M101" i="22" s="1"/>
  <c r="M20" i="22"/>
  <c r="N20" i="22"/>
  <c r="K20" i="22"/>
  <c r="L20" i="22" s="1"/>
  <c r="N104" i="11"/>
  <c r="O104" i="11"/>
  <c r="L104" i="11"/>
  <c r="M104" i="11" s="1"/>
  <c r="M23" i="11"/>
  <c r="N23" i="11"/>
  <c r="K23" i="11"/>
  <c r="L23" i="11" s="1"/>
  <c r="N105" i="10"/>
  <c r="O105" i="10"/>
  <c r="L105" i="10"/>
  <c r="M105" i="10" s="1"/>
  <c r="M24" i="10"/>
  <c r="N24" i="10"/>
  <c r="K24" i="10"/>
  <c r="L24" i="10" s="1"/>
  <c r="N104" i="9"/>
  <c r="O104" i="9"/>
  <c r="P104" i="9" s="1"/>
  <c r="L104" i="9"/>
  <c r="M104" i="9"/>
  <c r="M23" i="9"/>
  <c r="N23" i="9" s="1"/>
  <c r="K23" i="9"/>
  <c r="L23" i="9"/>
  <c r="O23" i="9"/>
  <c r="N103" i="8"/>
  <c r="O103" i="8" s="1"/>
  <c r="L103" i="8"/>
  <c r="M103" i="8"/>
  <c r="M22" i="8"/>
  <c r="N22" i="8" s="1"/>
  <c r="O22" i="8" s="1"/>
  <c r="K22" i="8"/>
  <c r="L22" i="8" s="1"/>
  <c r="N105" i="7"/>
  <c r="O105" i="7"/>
  <c r="L105" i="7"/>
  <c r="M105" i="7" s="1"/>
  <c r="M24" i="7"/>
  <c r="N24" i="7"/>
  <c r="O24" i="7" s="1"/>
  <c r="K24" i="7"/>
  <c r="L24" i="7" s="1"/>
  <c r="N103" i="6"/>
  <c r="O103" i="6"/>
  <c r="L103" i="6"/>
  <c r="M103" i="6" s="1"/>
  <c r="M22" i="6"/>
  <c r="N22" i="6"/>
  <c r="K22" i="6"/>
  <c r="L22" i="6" s="1"/>
  <c r="M21" i="5"/>
  <c r="N21" i="5"/>
  <c r="O21" i="5" s="1"/>
  <c r="K21" i="5"/>
  <c r="L21" i="5" s="1"/>
  <c r="N102" i="4"/>
  <c r="O102" i="4" s="1"/>
  <c r="L102" i="4"/>
  <c r="M102" i="4"/>
  <c r="P102" i="4"/>
  <c r="M21" i="4"/>
  <c r="N21" i="4" s="1"/>
  <c r="K21" i="4"/>
  <c r="L21" i="4"/>
  <c r="N102" i="3"/>
  <c r="O102" i="3" s="1"/>
  <c r="L102" i="3"/>
  <c r="M102" i="3"/>
  <c r="M21" i="3"/>
  <c r="N21" i="3" s="1"/>
  <c r="O21" i="3" s="1"/>
  <c r="L21" i="3"/>
  <c r="K21" i="3"/>
  <c r="P86" i="6"/>
  <c r="O5" i="6"/>
  <c r="P87" i="6"/>
  <c r="J153" i="25"/>
  <c r="J154" i="25"/>
  <c r="J152" i="25"/>
  <c r="J151" i="25"/>
  <c r="J150" i="25"/>
  <c r="J149" i="25"/>
  <c r="J148" i="25"/>
  <c r="J147" i="25"/>
  <c r="J146" i="25"/>
  <c r="J145" i="25"/>
  <c r="J144" i="25"/>
  <c r="J143" i="25"/>
  <c r="J142" i="25"/>
  <c r="J141" i="25"/>
  <c r="J140" i="25"/>
  <c r="J139" i="25"/>
  <c r="J138" i="25"/>
  <c r="J137" i="25"/>
  <c r="J136" i="25"/>
  <c r="J135" i="25"/>
  <c r="J134" i="25"/>
  <c r="J133" i="25"/>
  <c r="M19" i="25"/>
  <c r="N19" i="25"/>
  <c r="M18" i="25"/>
  <c r="N18" i="25" s="1"/>
  <c r="K19" i="25"/>
  <c r="L19" i="25"/>
  <c r="K18" i="25"/>
  <c r="L18" i="25" s="1"/>
  <c r="I19" i="25"/>
  <c r="C17" i="25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C32" i="25" s="1"/>
  <c r="C33" i="25"/>
  <c r="C34" i="25" s="1"/>
  <c r="C35" i="25" s="1"/>
  <c r="C36" i="25" s="1"/>
  <c r="C37" i="25" s="1"/>
  <c r="C38" i="25" s="1"/>
  <c r="C39" i="25" s="1"/>
  <c r="C40" i="25" s="1"/>
  <c r="C41" i="25" s="1"/>
  <c r="C42" i="25" s="1"/>
  <c r="C43" i="25" s="1"/>
  <c r="C44" i="25" s="1"/>
  <c r="C45" i="25" s="1"/>
  <c r="C46" i="25" s="1"/>
  <c r="C47" i="25" s="1"/>
  <c r="J131" i="24"/>
  <c r="J132" i="24"/>
  <c r="J133" i="24"/>
  <c r="J134" i="24"/>
  <c r="J135" i="24"/>
  <c r="J136" i="24"/>
  <c r="J137" i="24"/>
  <c r="J138" i="24"/>
  <c r="J139" i="24"/>
  <c r="J140" i="24"/>
  <c r="J141" i="24"/>
  <c r="J142" i="24"/>
  <c r="J143" i="24"/>
  <c r="J144" i="24"/>
  <c r="J145" i="24"/>
  <c r="J146" i="24"/>
  <c r="C17" i="24"/>
  <c r="C18" i="24"/>
  <c r="C19" i="24" s="1"/>
  <c r="C20" i="24" s="1"/>
  <c r="C21" i="24" s="1"/>
  <c r="C22" i="24" s="1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/>
  <c r="C63" i="24" s="1"/>
  <c r="C64" i="24" s="1"/>
  <c r="C65" i="24" s="1"/>
  <c r="C66" i="24" s="1"/>
  <c r="C67" i="24" s="1"/>
  <c r="C68" i="24" s="1"/>
  <c r="C69" i="24" s="1"/>
  <c r="C70" i="24" s="1"/>
  <c r="C71" i="24" s="1"/>
  <c r="C72" i="24" s="1"/>
  <c r="W31" i="17"/>
  <c r="P31" i="17"/>
  <c r="P154" i="27"/>
  <c r="O154" i="27"/>
  <c r="M154" i="27"/>
  <c r="P153" i="27"/>
  <c r="O153" i="27"/>
  <c r="M153" i="27"/>
  <c r="P152" i="27"/>
  <c r="O152" i="27"/>
  <c r="M152" i="27"/>
  <c r="P151" i="27"/>
  <c r="O151" i="27"/>
  <c r="M151" i="27"/>
  <c r="P150" i="27"/>
  <c r="O150" i="27"/>
  <c r="M150" i="27"/>
  <c r="P149" i="27"/>
  <c r="O149" i="27"/>
  <c r="M149" i="27"/>
  <c r="P148" i="27"/>
  <c r="O148" i="27"/>
  <c r="M148" i="27"/>
  <c r="P147" i="27"/>
  <c r="O147" i="27"/>
  <c r="M147" i="27"/>
  <c r="P146" i="27"/>
  <c r="O146" i="27"/>
  <c r="M146" i="27"/>
  <c r="P145" i="27"/>
  <c r="O145" i="27"/>
  <c r="M145" i="27"/>
  <c r="P144" i="27"/>
  <c r="O144" i="27"/>
  <c r="M144" i="27"/>
  <c r="P143" i="27"/>
  <c r="O143" i="27"/>
  <c r="M143" i="27"/>
  <c r="P142" i="27"/>
  <c r="O142" i="27"/>
  <c r="M142" i="27"/>
  <c r="P141" i="27"/>
  <c r="O141" i="27"/>
  <c r="M141" i="27"/>
  <c r="P140" i="27"/>
  <c r="O140" i="27"/>
  <c r="M140" i="27"/>
  <c r="P139" i="27"/>
  <c r="O139" i="27"/>
  <c r="M139" i="27"/>
  <c r="P138" i="27"/>
  <c r="O138" i="27"/>
  <c r="M138" i="27"/>
  <c r="P137" i="27"/>
  <c r="O137" i="27"/>
  <c r="M137" i="27"/>
  <c r="P136" i="27"/>
  <c r="O136" i="27"/>
  <c r="M136" i="27"/>
  <c r="P135" i="27"/>
  <c r="O135" i="27"/>
  <c r="M135" i="27"/>
  <c r="P134" i="27"/>
  <c r="O134" i="27"/>
  <c r="M134" i="27"/>
  <c r="P133" i="27"/>
  <c r="O133" i="27"/>
  <c r="M133" i="27"/>
  <c r="P132" i="27"/>
  <c r="O132" i="27"/>
  <c r="M132" i="27"/>
  <c r="P131" i="27"/>
  <c r="O131" i="27"/>
  <c r="M131" i="27"/>
  <c r="O130" i="27"/>
  <c r="M130" i="27"/>
  <c r="O129" i="27"/>
  <c r="M129" i="27"/>
  <c r="O128" i="27"/>
  <c r="M128" i="27"/>
  <c r="O127" i="27"/>
  <c r="M127" i="27"/>
  <c r="O126" i="27"/>
  <c r="M126" i="27"/>
  <c r="O125" i="27"/>
  <c r="M125" i="27"/>
  <c r="O124" i="27"/>
  <c r="M124" i="27"/>
  <c r="O123" i="27"/>
  <c r="M123" i="27"/>
  <c r="O122" i="27"/>
  <c r="M122" i="27"/>
  <c r="O121" i="27"/>
  <c r="M121" i="27"/>
  <c r="O120" i="27"/>
  <c r="M120" i="27"/>
  <c r="O119" i="27"/>
  <c r="M119" i="27"/>
  <c r="O118" i="27"/>
  <c r="M118" i="27"/>
  <c r="O117" i="27"/>
  <c r="M117" i="27"/>
  <c r="O116" i="27"/>
  <c r="M116" i="27"/>
  <c r="O115" i="27"/>
  <c r="M115" i="27"/>
  <c r="O114" i="27"/>
  <c r="M114" i="27"/>
  <c r="O113" i="27"/>
  <c r="M113" i="27"/>
  <c r="O112" i="27"/>
  <c r="M112" i="27"/>
  <c r="O111" i="27"/>
  <c r="M111" i="27"/>
  <c r="O110" i="27"/>
  <c r="M110" i="27"/>
  <c r="O109" i="27"/>
  <c r="M109" i="27"/>
  <c r="O108" i="27"/>
  <c r="M108" i="27"/>
  <c r="O107" i="27"/>
  <c r="M107" i="27"/>
  <c r="O106" i="27"/>
  <c r="O105" i="27"/>
  <c r="D96" i="27"/>
  <c r="L93" i="27"/>
  <c r="J93" i="27"/>
  <c r="D91" i="27"/>
  <c r="D89" i="27"/>
  <c r="N72" i="27"/>
  <c r="L72" i="27"/>
  <c r="N71" i="27"/>
  <c r="L71" i="27"/>
  <c r="N70" i="27"/>
  <c r="L70" i="27"/>
  <c r="N69" i="27"/>
  <c r="L69" i="27"/>
  <c r="N68" i="27"/>
  <c r="L68" i="27"/>
  <c r="N67" i="27"/>
  <c r="L67" i="27"/>
  <c r="N66" i="27"/>
  <c r="L66" i="27"/>
  <c r="N65" i="27"/>
  <c r="L65" i="27"/>
  <c r="N64" i="27"/>
  <c r="L64" i="27"/>
  <c r="N63" i="27"/>
  <c r="L63" i="27"/>
  <c r="N62" i="27"/>
  <c r="L62" i="27"/>
  <c r="N61" i="27"/>
  <c r="L61" i="27"/>
  <c r="N60" i="27"/>
  <c r="L60" i="27"/>
  <c r="N59" i="27"/>
  <c r="L59" i="27"/>
  <c r="N58" i="27"/>
  <c r="L58" i="27"/>
  <c r="N57" i="27"/>
  <c r="L57" i="27"/>
  <c r="N56" i="27"/>
  <c r="L56" i="27"/>
  <c r="N55" i="27"/>
  <c r="L55" i="27"/>
  <c r="N54" i="27"/>
  <c r="L54" i="27"/>
  <c r="N53" i="27"/>
  <c r="L53" i="27"/>
  <c r="N52" i="27"/>
  <c r="L52" i="27"/>
  <c r="N51" i="27"/>
  <c r="L51" i="27"/>
  <c r="N50" i="27"/>
  <c r="L50" i="27"/>
  <c r="N49" i="27"/>
  <c r="L49" i="27"/>
  <c r="N48" i="27"/>
  <c r="L48" i="27"/>
  <c r="N47" i="27"/>
  <c r="L47" i="27"/>
  <c r="N46" i="27"/>
  <c r="L46" i="27"/>
  <c r="N45" i="27"/>
  <c r="L45" i="27"/>
  <c r="N44" i="27"/>
  <c r="L44" i="27"/>
  <c r="N43" i="27"/>
  <c r="L43" i="27"/>
  <c r="N42" i="27"/>
  <c r="L42" i="27"/>
  <c r="N41" i="27"/>
  <c r="L41" i="27"/>
  <c r="N40" i="27"/>
  <c r="L40" i="27"/>
  <c r="N39" i="27"/>
  <c r="L39" i="27"/>
  <c r="N38" i="27"/>
  <c r="L38" i="27"/>
  <c r="N37" i="27"/>
  <c r="L37" i="27"/>
  <c r="N36" i="27"/>
  <c r="L36" i="27"/>
  <c r="N35" i="27"/>
  <c r="L35" i="27"/>
  <c r="N34" i="27"/>
  <c r="L34" i="27"/>
  <c r="N33" i="27"/>
  <c r="L33" i="27"/>
  <c r="N32" i="27"/>
  <c r="L32" i="27"/>
  <c r="N31" i="27"/>
  <c r="L31" i="27"/>
  <c r="N30" i="27"/>
  <c r="L30" i="27"/>
  <c r="N29" i="27"/>
  <c r="L29" i="27"/>
  <c r="N28" i="27"/>
  <c r="L28" i="27"/>
  <c r="N27" i="27"/>
  <c r="L27" i="27"/>
  <c r="N26" i="27"/>
  <c r="L26" i="27"/>
  <c r="N25" i="27"/>
  <c r="N24" i="27"/>
  <c r="N23" i="27"/>
  <c r="O23" i="27" s="1"/>
  <c r="C17" i="27"/>
  <c r="C18" i="27"/>
  <c r="C19" i="27" s="1"/>
  <c r="C20" i="27" s="1"/>
  <c r="C21" i="27" s="1"/>
  <c r="C22" i="27" s="1"/>
  <c r="C23" i="27" s="1"/>
  <c r="C24" i="27" s="1"/>
  <c r="C25" i="27" s="1"/>
  <c r="C26" i="27" s="1"/>
  <c r="C27" i="27" s="1"/>
  <c r="C28" i="27" s="1"/>
  <c r="C29" i="27" s="1"/>
  <c r="C30" i="27"/>
  <c r="C31" i="27" s="1"/>
  <c r="C32" i="27" s="1"/>
  <c r="C33" i="27" s="1"/>
  <c r="C34" i="27" s="1"/>
  <c r="C35" i="27" s="1"/>
  <c r="C36" i="27" s="1"/>
  <c r="C37" i="27" s="1"/>
  <c r="C38" i="27" s="1"/>
  <c r="C39" i="27" s="1"/>
  <c r="C40" i="27" s="1"/>
  <c r="C41" i="27" s="1"/>
  <c r="C42" i="27" s="1"/>
  <c r="C43" i="27" s="1"/>
  <c r="C44" i="27" s="1"/>
  <c r="C45" i="27" s="1"/>
  <c r="C46" i="27"/>
  <c r="C47" i="27" s="1"/>
  <c r="C48" i="27" s="1"/>
  <c r="C49" i="27" s="1"/>
  <c r="C50" i="27" s="1"/>
  <c r="K11" i="27"/>
  <c r="I11" i="27"/>
  <c r="M17" i="25"/>
  <c r="N17" i="25"/>
  <c r="O17" i="25" s="1"/>
  <c r="K17" i="25"/>
  <c r="L17" i="25" s="1"/>
  <c r="M17" i="24"/>
  <c r="N17" i="24" s="1"/>
  <c r="O17" i="24" s="1"/>
  <c r="K17" i="24"/>
  <c r="N99" i="23"/>
  <c r="L99" i="23"/>
  <c r="M18" i="23"/>
  <c r="N18" i="23"/>
  <c r="K18" i="23"/>
  <c r="N100" i="22"/>
  <c r="L100" i="22"/>
  <c r="M19" i="22"/>
  <c r="N19" i="22"/>
  <c r="K19" i="22"/>
  <c r="N103" i="11"/>
  <c r="L103" i="11"/>
  <c r="M103" i="11" s="1"/>
  <c r="M22" i="11"/>
  <c r="N22" i="11" s="1"/>
  <c r="K22" i="11"/>
  <c r="N104" i="10"/>
  <c r="L104" i="10"/>
  <c r="M23" i="10"/>
  <c r="N23" i="10"/>
  <c r="K23" i="10"/>
  <c r="N103" i="9"/>
  <c r="L103" i="9"/>
  <c r="M22" i="9"/>
  <c r="N22" i="9" s="1"/>
  <c r="K22" i="9"/>
  <c r="L22" i="9" s="1"/>
  <c r="N102" i="8"/>
  <c r="L102" i="8"/>
  <c r="M21" i="8"/>
  <c r="N21" i="8" s="1"/>
  <c r="K21" i="8"/>
  <c r="N104" i="7"/>
  <c r="O104" i="7" s="1"/>
  <c r="L104" i="7"/>
  <c r="M23" i="7"/>
  <c r="N23" i="7" s="1"/>
  <c r="K23" i="7"/>
  <c r="N102" i="6"/>
  <c r="L102" i="6"/>
  <c r="M21" i="6"/>
  <c r="N21" i="6"/>
  <c r="K21" i="6"/>
  <c r="N101" i="5"/>
  <c r="L101" i="5"/>
  <c r="M20" i="5"/>
  <c r="N20" i="5" s="1"/>
  <c r="K20" i="5"/>
  <c r="N101" i="4"/>
  <c r="L101" i="4"/>
  <c r="M20" i="4"/>
  <c r="N20" i="4" s="1"/>
  <c r="K20" i="4"/>
  <c r="N101" i="3"/>
  <c r="L101" i="3"/>
  <c r="M20" i="3"/>
  <c r="N20" i="3"/>
  <c r="K20" i="3"/>
  <c r="I10" i="45"/>
  <c r="F81" i="2"/>
  <c r="F87" i="2"/>
  <c r="F86" i="2"/>
  <c r="C17" i="3"/>
  <c r="C18" i="3" s="1"/>
  <c r="C19" i="3" s="1"/>
  <c r="C20" i="3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/>
  <c r="C37" i="3" s="1"/>
  <c r="C38" i="3" s="1"/>
  <c r="C39" i="3" s="1"/>
  <c r="C40" i="3" s="1"/>
  <c r="C41" i="3" s="1"/>
  <c r="C42" i="3" s="1"/>
  <c r="C43" i="3" s="1"/>
  <c r="C44" i="3" s="1"/>
  <c r="K19" i="3"/>
  <c r="L19" i="3" s="1"/>
  <c r="P18" i="17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K19" i="4"/>
  <c r="P19" i="17"/>
  <c r="C17" i="5"/>
  <c r="C18" i="5" s="1"/>
  <c r="C19" i="5"/>
  <c r="C20" i="5" s="1"/>
  <c r="C21" i="5" s="1"/>
  <c r="C22" i="5" s="1"/>
  <c r="C23" i="5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K19" i="5"/>
  <c r="P20" i="17"/>
  <c r="C17" i="6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K20" i="6"/>
  <c r="P21" i="17"/>
  <c r="C17" i="7"/>
  <c r="C18" i="7"/>
  <c r="C19" i="7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K22" i="7"/>
  <c r="L22" i="7" s="1"/>
  <c r="P22" i="17"/>
  <c r="C17" i="8"/>
  <c r="C18" i="8" s="1"/>
  <c r="C19" i="8"/>
  <c r="C20" i="8" s="1"/>
  <c r="C21" i="8" s="1"/>
  <c r="C22" i="8" s="1"/>
  <c r="C23" i="8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K20" i="8"/>
  <c r="P23" i="17"/>
  <c r="C17" i="9"/>
  <c r="C18" i="9"/>
  <c r="C19" i="9"/>
  <c r="C20" i="9" s="1"/>
  <c r="C21" i="9" s="1"/>
  <c r="C22" i="9" s="1"/>
  <c r="C23" i="9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70" i="9" s="1"/>
  <c r="C71" i="9" s="1"/>
  <c r="C72" i="9" s="1"/>
  <c r="K21" i="9"/>
  <c r="L21" i="9"/>
  <c r="P24" i="17"/>
  <c r="C17" i="10"/>
  <c r="C18" i="10"/>
  <c r="C19" i="10" s="1"/>
  <c r="C20" i="10" s="1"/>
  <c r="C21" i="10" s="1"/>
  <c r="C22" i="10"/>
  <c r="C23" i="10" s="1"/>
  <c r="C24" i="10" s="1"/>
  <c r="C25" i="10" s="1"/>
  <c r="C26" i="10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K22" i="10"/>
  <c r="P25" i="17"/>
  <c r="C17" i="11"/>
  <c r="C18" i="11" s="1"/>
  <c r="C19" i="11" s="1"/>
  <c r="C20" i="11"/>
  <c r="C21" i="11" s="1"/>
  <c r="C22" i="11" s="1"/>
  <c r="C23" i="11" s="1"/>
  <c r="C24" i="1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K21" i="11"/>
  <c r="L21" i="11" s="1"/>
  <c r="P26" i="17"/>
  <c r="C17" i="22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K18" i="22"/>
  <c r="P27" i="17"/>
  <c r="C17" i="23"/>
  <c r="C18" i="23" s="1"/>
  <c r="C19" i="23" s="1"/>
  <c r="C20" i="23" s="1"/>
  <c r="C21" i="23" s="1"/>
  <c r="C22" i="23" s="1"/>
  <c r="C23" i="23" s="1"/>
  <c r="C24" i="23" s="1"/>
  <c r="C25" i="23" s="1"/>
  <c r="C26" i="23" s="1"/>
  <c r="C27" i="23" s="1"/>
  <c r="C28" i="23" s="1"/>
  <c r="C29" i="23" s="1"/>
  <c r="C30" i="23" s="1"/>
  <c r="C31" i="23"/>
  <c r="C32" i="23" s="1"/>
  <c r="C33" i="23" s="1"/>
  <c r="C34" i="23" s="1"/>
  <c r="C35" i="23" s="1"/>
  <c r="C36" i="23" s="1"/>
  <c r="C37" i="23" s="1"/>
  <c r="C38" i="23" s="1"/>
  <c r="C39" i="23" s="1"/>
  <c r="C40" i="23" s="1"/>
  <c r="C41" i="23" s="1"/>
  <c r="C42" i="23" s="1"/>
  <c r="C43" i="23" s="1"/>
  <c r="C44" i="23" s="1"/>
  <c r="C45" i="23" s="1"/>
  <c r="C46" i="23" s="1"/>
  <c r="C47" i="23"/>
  <c r="C48" i="23" s="1"/>
  <c r="C49" i="23" s="1"/>
  <c r="C50" i="23" s="1"/>
  <c r="C51" i="23" s="1"/>
  <c r="C52" i="23" s="1"/>
  <c r="C53" i="23" s="1"/>
  <c r="C54" i="23" s="1"/>
  <c r="C55" i="23" s="1"/>
  <c r="C56" i="23" s="1"/>
  <c r="C57" i="23" s="1"/>
  <c r="C58" i="23" s="1"/>
  <c r="C59" i="23" s="1"/>
  <c r="C60" i="23" s="1"/>
  <c r="C61" i="23" s="1"/>
  <c r="C62" i="23" s="1"/>
  <c r="C63" i="23" s="1"/>
  <c r="C64" i="23" s="1"/>
  <c r="C65" i="23" s="1"/>
  <c r="C66" i="23" s="1"/>
  <c r="C67" i="23" s="1"/>
  <c r="C68" i="23" s="1"/>
  <c r="C69" i="23" s="1"/>
  <c r="C70" i="23" s="1"/>
  <c r="C71" i="23" s="1"/>
  <c r="C72" i="23" s="1"/>
  <c r="K17" i="23"/>
  <c r="P28" i="17"/>
  <c r="P29" i="17"/>
  <c r="P30" i="17"/>
  <c r="W29" i="17"/>
  <c r="W30" i="17"/>
  <c r="C17" i="13"/>
  <c r="M19" i="3"/>
  <c r="M19" i="4"/>
  <c r="M19" i="5"/>
  <c r="M20" i="6"/>
  <c r="M22" i="7"/>
  <c r="M20" i="8"/>
  <c r="M21" i="9"/>
  <c r="N21" i="9" s="1"/>
  <c r="O21" i="9" s="1"/>
  <c r="M22" i="10"/>
  <c r="M21" i="11"/>
  <c r="M18" i="22"/>
  <c r="N18" i="22"/>
  <c r="M17" i="23"/>
  <c r="N17" i="23" s="1"/>
  <c r="O17" i="23" s="1"/>
  <c r="F81" i="1"/>
  <c r="I12" i="37" s="1"/>
  <c r="I13" i="37" s="1"/>
  <c r="F86" i="1"/>
  <c r="F90" i="1"/>
  <c r="P1" i="25"/>
  <c r="P83" i="25" s="1"/>
  <c r="I11" i="25"/>
  <c r="K11" i="25"/>
  <c r="N27" i="25"/>
  <c r="N28" i="25"/>
  <c r="L29" i="25"/>
  <c r="N29" i="25"/>
  <c r="L30" i="25"/>
  <c r="N30" i="25"/>
  <c r="L31" i="25"/>
  <c r="N31" i="25"/>
  <c r="L32" i="25"/>
  <c r="N32" i="25"/>
  <c r="L33" i="25"/>
  <c r="N33" i="25"/>
  <c r="L34" i="25"/>
  <c r="N34" i="25"/>
  <c r="L35" i="25"/>
  <c r="N35" i="25"/>
  <c r="L36" i="25"/>
  <c r="N36" i="25"/>
  <c r="L37" i="25"/>
  <c r="N37" i="25"/>
  <c r="L38" i="25"/>
  <c r="N38" i="25"/>
  <c r="L39" i="25"/>
  <c r="N39" i="25"/>
  <c r="L40" i="25"/>
  <c r="N40" i="25"/>
  <c r="L41" i="25"/>
  <c r="N41" i="25"/>
  <c r="L42" i="25"/>
  <c r="N42" i="25"/>
  <c r="L43" i="25"/>
  <c r="N43" i="25"/>
  <c r="L44" i="25"/>
  <c r="N44" i="25"/>
  <c r="L45" i="25"/>
  <c r="N45" i="25"/>
  <c r="L46" i="25"/>
  <c r="N46" i="25"/>
  <c r="L47" i="25"/>
  <c r="N47" i="25"/>
  <c r="L48" i="25"/>
  <c r="N48" i="25"/>
  <c r="L49" i="25"/>
  <c r="N49" i="25"/>
  <c r="L50" i="25"/>
  <c r="N50" i="25"/>
  <c r="L51" i="25"/>
  <c r="N51" i="25"/>
  <c r="L52" i="25"/>
  <c r="N52" i="25"/>
  <c r="L53" i="25"/>
  <c r="N53" i="25"/>
  <c r="L54" i="25"/>
  <c r="N54" i="25"/>
  <c r="L55" i="25"/>
  <c r="N55" i="25"/>
  <c r="L56" i="25"/>
  <c r="N56" i="25"/>
  <c r="L57" i="25"/>
  <c r="N57" i="25"/>
  <c r="L58" i="25"/>
  <c r="N58" i="25"/>
  <c r="L59" i="25"/>
  <c r="N59" i="25"/>
  <c r="L60" i="25"/>
  <c r="N60" i="25"/>
  <c r="L61" i="25"/>
  <c r="N61" i="25"/>
  <c r="L62" i="25"/>
  <c r="N62" i="25"/>
  <c r="L63" i="25"/>
  <c r="N63" i="25"/>
  <c r="L64" i="25"/>
  <c r="N64" i="25"/>
  <c r="L65" i="25"/>
  <c r="N65" i="25"/>
  <c r="L66" i="25"/>
  <c r="N66" i="25"/>
  <c r="L67" i="25"/>
  <c r="N67" i="25"/>
  <c r="L68" i="25"/>
  <c r="N68" i="25"/>
  <c r="L69" i="25"/>
  <c r="N69" i="25"/>
  <c r="L70" i="25"/>
  <c r="N70" i="25"/>
  <c r="L71" i="25"/>
  <c r="N71" i="25"/>
  <c r="L72" i="25"/>
  <c r="N72" i="25"/>
  <c r="D89" i="25"/>
  <c r="D90" i="25"/>
  <c r="D91" i="25"/>
  <c r="J93" i="25"/>
  <c r="L93" i="25"/>
  <c r="D96" i="25"/>
  <c r="M110" i="25"/>
  <c r="P110" i="25" s="1"/>
  <c r="M111" i="25"/>
  <c r="P111" i="25" s="1"/>
  <c r="M112" i="25"/>
  <c r="P112" i="25" s="1"/>
  <c r="M113" i="25"/>
  <c r="P113" i="25" s="1"/>
  <c r="M114" i="25"/>
  <c r="P114" i="25" s="1"/>
  <c r="M115" i="25"/>
  <c r="P115" i="25" s="1"/>
  <c r="M116" i="25"/>
  <c r="P116" i="25" s="1"/>
  <c r="M117" i="25"/>
  <c r="P117" i="25" s="1"/>
  <c r="M118" i="25"/>
  <c r="P118" i="25" s="1"/>
  <c r="M119" i="25"/>
  <c r="P119" i="25" s="1"/>
  <c r="M120" i="25"/>
  <c r="P120" i="25" s="1"/>
  <c r="M121" i="25"/>
  <c r="P121" i="25" s="1"/>
  <c r="M122" i="25"/>
  <c r="P122" i="25" s="1"/>
  <c r="M123" i="25"/>
  <c r="P123" i="25" s="1"/>
  <c r="M124" i="25"/>
  <c r="P124" i="25" s="1"/>
  <c r="M125" i="25"/>
  <c r="P125" i="25" s="1"/>
  <c r="M126" i="25"/>
  <c r="P126" i="25" s="1"/>
  <c r="M127" i="25"/>
  <c r="P127" i="25" s="1"/>
  <c r="M128" i="25"/>
  <c r="P128" i="25" s="1"/>
  <c r="M129" i="25"/>
  <c r="P129" i="25" s="1"/>
  <c r="M130" i="25"/>
  <c r="P130" i="25" s="1"/>
  <c r="M131" i="25"/>
  <c r="M132" i="25"/>
  <c r="M133" i="25"/>
  <c r="M134" i="25"/>
  <c r="M135" i="25"/>
  <c r="M136" i="25"/>
  <c r="M137" i="25"/>
  <c r="M138" i="25"/>
  <c r="M139" i="25"/>
  <c r="M140" i="25"/>
  <c r="M141" i="25"/>
  <c r="M142" i="25"/>
  <c r="M143" i="25"/>
  <c r="M144" i="25"/>
  <c r="M145" i="25"/>
  <c r="M146" i="25"/>
  <c r="M147" i="25"/>
  <c r="M148" i="25"/>
  <c r="M149" i="25"/>
  <c r="M150" i="25"/>
  <c r="M151" i="25"/>
  <c r="M152" i="25"/>
  <c r="M153" i="25"/>
  <c r="M154" i="25"/>
  <c r="N99" i="22"/>
  <c r="L99" i="22"/>
  <c r="N102" i="11"/>
  <c r="L102" i="11"/>
  <c r="M102" i="11" s="1"/>
  <c r="N103" i="10"/>
  <c r="L103" i="10"/>
  <c r="N102" i="9"/>
  <c r="L102" i="9"/>
  <c r="M102" i="9" s="1"/>
  <c r="N101" i="8"/>
  <c r="L101" i="8"/>
  <c r="M101" i="8" s="1"/>
  <c r="N103" i="7"/>
  <c r="L103" i="7"/>
  <c r="M103" i="7" s="1"/>
  <c r="N101" i="6"/>
  <c r="L101" i="6"/>
  <c r="N100" i="5"/>
  <c r="L100" i="5"/>
  <c r="N100" i="4"/>
  <c r="L100" i="4"/>
  <c r="P1" i="24"/>
  <c r="P83" i="24" s="1"/>
  <c r="I11" i="24"/>
  <c r="K11" i="24"/>
  <c r="L17" i="24"/>
  <c r="N25" i="24"/>
  <c r="N26" i="24"/>
  <c r="L27" i="24"/>
  <c r="N27" i="24"/>
  <c r="L28" i="24"/>
  <c r="N28" i="24"/>
  <c r="L29" i="24"/>
  <c r="N29" i="24"/>
  <c r="L30" i="24"/>
  <c r="N30" i="24"/>
  <c r="L31" i="24"/>
  <c r="N31" i="24"/>
  <c r="L32" i="24"/>
  <c r="N32" i="24"/>
  <c r="L33" i="24"/>
  <c r="N33" i="24"/>
  <c r="L34" i="24"/>
  <c r="N34" i="24"/>
  <c r="L35" i="24"/>
  <c r="N35" i="24"/>
  <c r="L36" i="24"/>
  <c r="N36" i="24"/>
  <c r="L37" i="24"/>
  <c r="N37" i="24"/>
  <c r="L38" i="24"/>
  <c r="N38" i="24"/>
  <c r="L39" i="24"/>
  <c r="N39" i="24"/>
  <c r="L40" i="24"/>
  <c r="N40" i="24"/>
  <c r="L41" i="24"/>
  <c r="N41" i="24"/>
  <c r="L42" i="24"/>
  <c r="N42" i="24"/>
  <c r="L43" i="24"/>
  <c r="N43" i="24"/>
  <c r="L44" i="24"/>
  <c r="N44" i="24"/>
  <c r="L45" i="24"/>
  <c r="N45" i="24"/>
  <c r="L46" i="24"/>
  <c r="N46" i="24"/>
  <c r="L47" i="24"/>
  <c r="N47" i="24"/>
  <c r="L48" i="24"/>
  <c r="N48" i="24"/>
  <c r="L49" i="24"/>
  <c r="N49" i="24"/>
  <c r="L50" i="24"/>
  <c r="N50" i="24"/>
  <c r="L51" i="24"/>
  <c r="N51" i="24"/>
  <c r="L52" i="24"/>
  <c r="N52" i="24"/>
  <c r="L53" i="24"/>
  <c r="N53" i="24"/>
  <c r="L54" i="24"/>
  <c r="N54" i="24"/>
  <c r="L55" i="24"/>
  <c r="N55" i="24"/>
  <c r="L56" i="24"/>
  <c r="N56" i="24"/>
  <c r="L57" i="24"/>
  <c r="N57" i="24"/>
  <c r="L58" i="24"/>
  <c r="N58" i="24"/>
  <c r="L59" i="24"/>
  <c r="N59" i="24"/>
  <c r="L60" i="24"/>
  <c r="N60" i="24"/>
  <c r="L61" i="24"/>
  <c r="N61" i="24"/>
  <c r="L62" i="24"/>
  <c r="N62" i="24"/>
  <c r="L63" i="24"/>
  <c r="N63" i="24"/>
  <c r="L64" i="24"/>
  <c r="N64" i="24"/>
  <c r="L65" i="24"/>
  <c r="N65" i="24"/>
  <c r="L66" i="24"/>
  <c r="N66" i="24"/>
  <c r="L67" i="24"/>
  <c r="N67" i="24"/>
  <c r="L68" i="24"/>
  <c r="N68" i="24"/>
  <c r="L69" i="24"/>
  <c r="N69" i="24"/>
  <c r="L70" i="24"/>
  <c r="N70" i="24"/>
  <c r="L71" i="24"/>
  <c r="N71" i="24"/>
  <c r="L72" i="24"/>
  <c r="N72" i="24"/>
  <c r="D89" i="24"/>
  <c r="D90" i="24"/>
  <c r="D91" i="24"/>
  <c r="J93" i="24"/>
  <c r="L93" i="24"/>
  <c r="D96" i="24"/>
  <c r="O106" i="24"/>
  <c r="O107" i="24"/>
  <c r="M108" i="24"/>
  <c r="O108" i="24"/>
  <c r="M109" i="24"/>
  <c r="O109" i="24"/>
  <c r="M110" i="24"/>
  <c r="O110" i="24"/>
  <c r="M111" i="24"/>
  <c r="O111" i="24"/>
  <c r="M112" i="24"/>
  <c r="O112" i="24"/>
  <c r="M113" i="24"/>
  <c r="O113" i="24"/>
  <c r="M114" i="24"/>
  <c r="O114" i="24"/>
  <c r="M115" i="24"/>
  <c r="O115" i="24"/>
  <c r="M116" i="24"/>
  <c r="O116" i="24"/>
  <c r="M117" i="24"/>
  <c r="O117" i="24"/>
  <c r="M118" i="24"/>
  <c r="O118" i="24"/>
  <c r="M119" i="24"/>
  <c r="O119" i="24"/>
  <c r="M120" i="24"/>
  <c r="O120" i="24"/>
  <c r="M121" i="24"/>
  <c r="O121" i="24"/>
  <c r="M122" i="24"/>
  <c r="O122" i="24"/>
  <c r="M123" i="24"/>
  <c r="O123" i="24"/>
  <c r="M124" i="24"/>
  <c r="O124" i="24"/>
  <c r="M125" i="24"/>
  <c r="O125" i="24"/>
  <c r="M126" i="24"/>
  <c r="O126" i="24"/>
  <c r="M127" i="24"/>
  <c r="O127" i="24"/>
  <c r="M128" i="24"/>
  <c r="O128" i="24"/>
  <c r="M129" i="24"/>
  <c r="O129" i="24"/>
  <c r="M130" i="24"/>
  <c r="O130" i="24"/>
  <c r="M131" i="24"/>
  <c r="O131" i="24"/>
  <c r="P131" i="24"/>
  <c r="M132" i="24"/>
  <c r="O132" i="24"/>
  <c r="P132" i="24"/>
  <c r="M133" i="24"/>
  <c r="O133" i="24"/>
  <c r="P133" i="24"/>
  <c r="M134" i="24"/>
  <c r="O134" i="24"/>
  <c r="P134" i="24"/>
  <c r="M135" i="24"/>
  <c r="O135" i="24"/>
  <c r="P135" i="24"/>
  <c r="M136" i="24"/>
  <c r="O136" i="24"/>
  <c r="P136" i="24"/>
  <c r="M137" i="24"/>
  <c r="O137" i="24"/>
  <c r="P137" i="24"/>
  <c r="M138" i="24"/>
  <c r="O138" i="24"/>
  <c r="P138" i="24"/>
  <c r="M139" i="24"/>
  <c r="O139" i="24"/>
  <c r="P139" i="24"/>
  <c r="M140" i="24"/>
  <c r="O140" i="24"/>
  <c r="P140" i="24"/>
  <c r="M141" i="24"/>
  <c r="O141" i="24"/>
  <c r="P141" i="24"/>
  <c r="M142" i="24"/>
  <c r="O142" i="24"/>
  <c r="P142" i="24"/>
  <c r="M143" i="24"/>
  <c r="O143" i="24"/>
  <c r="P143" i="24"/>
  <c r="M144" i="24"/>
  <c r="O144" i="24"/>
  <c r="P144" i="24"/>
  <c r="M145" i="24"/>
  <c r="O145" i="24"/>
  <c r="P145" i="24"/>
  <c r="M146" i="24"/>
  <c r="O146" i="24"/>
  <c r="P146" i="24"/>
  <c r="J147" i="24"/>
  <c r="M147" i="24"/>
  <c r="O147" i="24"/>
  <c r="P147" i="24"/>
  <c r="J148" i="24"/>
  <c r="M148" i="24"/>
  <c r="O148" i="24"/>
  <c r="P148" i="24"/>
  <c r="J149" i="24"/>
  <c r="M149" i="24"/>
  <c r="O149" i="24"/>
  <c r="P149" i="24"/>
  <c r="J150" i="24"/>
  <c r="M150" i="24"/>
  <c r="O150" i="24"/>
  <c r="P150" i="24"/>
  <c r="J151" i="24"/>
  <c r="M151" i="24"/>
  <c r="O151" i="24"/>
  <c r="P151" i="24"/>
  <c r="J152" i="24"/>
  <c r="M152" i="24"/>
  <c r="O152" i="24"/>
  <c r="P152" i="24"/>
  <c r="J153" i="24"/>
  <c r="M153" i="24"/>
  <c r="O153" i="24"/>
  <c r="P153" i="24"/>
  <c r="J154" i="24"/>
  <c r="M154" i="24"/>
  <c r="O154" i="24"/>
  <c r="P154" i="24"/>
  <c r="N100" i="3"/>
  <c r="L100" i="3"/>
  <c r="M18" i="3"/>
  <c r="N18" i="3" s="1"/>
  <c r="O18" i="3" s="1"/>
  <c r="D10" i="3"/>
  <c r="K21" i="10"/>
  <c r="K18" i="3"/>
  <c r="K18" i="4"/>
  <c r="K18" i="5"/>
  <c r="K19" i="6"/>
  <c r="L19" i="6" s="1"/>
  <c r="K21" i="7"/>
  <c r="K19" i="8"/>
  <c r="L19" i="8" s="1"/>
  <c r="K20" i="9"/>
  <c r="L20" i="9" s="1"/>
  <c r="K20" i="11"/>
  <c r="K17" i="22"/>
  <c r="L17" i="22" s="1"/>
  <c r="W28" i="17"/>
  <c r="B19" i="23"/>
  <c r="I17" i="23"/>
  <c r="P1" i="23"/>
  <c r="P83" i="23" s="1"/>
  <c r="I11" i="23"/>
  <c r="K11" i="23"/>
  <c r="L17" i="23"/>
  <c r="B18" i="23"/>
  <c r="L18" i="23"/>
  <c r="N26" i="23"/>
  <c r="N27" i="23"/>
  <c r="L28" i="23"/>
  <c r="N28" i="23"/>
  <c r="L29" i="23"/>
  <c r="N29" i="23"/>
  <c r="L30" i="23"/>
  <c r="N30" i="23"/>
  <c r="L31" i="23"/>
  <c r="N31" i="23"/>
  <c r="L32" i="23"/>
  <c r="N32" i="23"/>
  <c r="L33" i="23"/>
  <c r="N33" i="23"/>
  <c r="L34" i="23"/>
  <c r="N34" i="23"/>
  <c r="L35" i="23"/>
  <c r="N35" i="23"/>
  <c r="L36" i="23"/>
  <c r="N36" i="23"/>
  <c r="L37" i="23"/>
  <c r="N37" i="23"/>
  <c r="L38" i="23"/>
  <c r="N38" i="23"/>
  <c r="L39" i="23"/>
  <c r="N39" i="23"/>
  <c r="L40" i="23"/>
  <c r="N40" i="23"/>
  <c r="L41" i="23"/>
  <c r="N41" i="23"/>
  <c r="L42" i="23"/>
  <c r="N42" i="23"/>
  <c r="L43" i="23"/>
  <c r="N43" i="23"/>
  <c r="L44" i="23"/>
  <c r="N44" i="23"/>
  <c r="L45" i="23"/>
  <c r="N45" i="23"/>
  <c r="L46" i="23"/>
  <c r="N46" i="23"/>
  <c r="L47" i="23"/>
  <c r="N47" i="23"/>
  <c r="L48" i="23"/>
  <c r="N48" i="23"/>
  <c r="L49" i="23"/>
  <c r="N49" i="23"/>
  <c r="L50" i="23"/>
  <c r="N50" i="23"/>
  <c r="L51" i="23"/>
  <c r="N51" i="23"/>
  <c r="L52" i="23"/>
  <c r="N52" i="23"/>
  <c r="L53" i="23"/>
  <c r="N53" i="23"/>
  <c r="L54" i="23"/>
  <c r="N54" i="23"/>
  <c r="L55" i="23"/>
  <c r="N55" i="23"/>
  <c r="L56" i="23"/>
  <c r="N56" i="23"/>
  <c r="L57" i="23"/>
  <c r="N57" i="23"/>
  <c r="L58" i="23"/>
  <c r="N58" i="23"/>
  <c r="L59" i="23"/>
  <c r="N59" i="23"/>
  <c r="L60" i="23"/>
  <c r="N60" i="23"/>
  <c r="L61" i="23"/>
  <c r="N61" i="23"/>
  <c r="L62" i="23"/>
  <c r="N62" i="23"/>
  <c r="L63" i="23"/>
  <c r="N63" i="23"/>
  <c r="L64" i="23"/>
  <c r="N64" i="23"/>
  <c r="L65" i="23"/>
  <c r="N65" i="23"/>
  <c r="L66" i="23"/>
  <c r="N66" i="23"/>
  <c r="L67" i="23"/>
  <c r="N67" i="23"/>
  <c r="L68" i="23"/>
  <c r="N68" i="23"/>
  <c r="L69" i="23"/>
  <c r="N69" i="23"/>
  <c r="L70" i="23"/>
  <c r="N70" i="23"/>
  <c r="L71" i="23"/>
  <c r="N71" i="23"/>
  <c r="L72" i="23"/>
  <c r="N72" i="23"/>
  <c r="D89" i="23"/>
  <c r="D91" i="23"/>
  <c r="J93" i="23"/>
  <c r="L93" i="23"/>
  <c r="D96" i="23"/>
  <c r="M99" i="23"/>
  <c r="O99" i="23"/>
  <c r="O107" i="23"/>
  <c r="O108" i="23"/>
  <c r="M109" i="23"/>
  <c r="O109" i="23"/>
  <c r="M110" i="23"/>
  <c r="O110" i="23"/>
  <c r="M111" i="23"/>
  <c r="O111" i="23"/>
  <c r="M112" i="23"/>
  <c r="O112" i="23"/>
  <c r="M113" i="23"/>
  <c r="O113" i="23"/>
  <c r="M114" i="23"/>
  <c r="O114" i="23"/>
  <c r="M115" i="23"/>
  <c r="O115" i="23"/>
  <c r="M116" i="23"/>
  <c r="O116" i="23"/>
  <c r="M117" i="23"/>
  <c r="O117" i="23"/>
  <c r="M118" i="23"/>
  <c r="O118" i="23"/>
  <c r="M119" i="23"/>
  <c r="O119" i="23"/>
  <c r="M120" i="23"/>
  <c r="O120" i="23"/>
  <c r="M121" i="23"/>
  <c r="O121" i="23"/>
  <c r="M122" i="23"/>
  <c r="O122" i="23"/>
  <c r="M123" i="23"/>
  <c r="O123" i="23"/>
  <c r="M124" i="23"/>
  <c r="O124" i="23"/>
  <c r="M125" i="23"/>
  <c r="O125" i="23"/>
  <c r="M126" i="23"/>
  <c r="O126" i="23"/>
  <c r="M127" i="23"/>
  <c r="O127" i="23"/>
  <c r="M128" i="23"/>
  <c r="O128" i="23"/>
  <c r="M129" i="23"/>
  <c r="O129" i="23"/>
  <c r="M130" i="23"/>
  <c r="O130" i="23"/>
  <c r="J131" i="23"/>
  <c r="M131" i="23"/>
  <c r="O131" i="23"/>
  <c r="P131" i="23"/>
  <c r="J132" i="23"/>
  <c r="M132" i="23"/>
  <c r="O132" i="23"/>
  <c r="P132" i="23"/>
  <c r="J133" i="23"/>
  <c r="M133" i="23"/>
  <c r="O133" i="23"/>
  <c r="P133" i="23"/>
  <c r="J134" i="23"/>
  <c r="M134" i="23"/>
  <c r="O134" i="23"/>
  <c r="P134" i="23"/>
  <c r="J135" i="23"/>
  <c r="M135" i="23"/>
  <c r="O135" i="23"/>
  <c r="P135" i="23"/>
  <c r="J136" i="23"/>
  <c r="M136" i="23"/>
  <c r="O136" i="23"/>
  <c r="P136" i="23"/>
  <c r="J137" i="23"/>
  <c r="M137" i="23"/>
  <c r="O137" i="23"/>
  <c r="P137" i="23"/>
  <c r="J138" i="23"/>
  <c r="M138" i="23"/>
  <c r="O138" i="23"/>
  <c r="P138" i="23"/>
  <c r="J139" i="23"/>
  <c r="M139" i="23"/>
  <c r="O139" i="23"/>
  <c r="P139" i="23"/>
  <c r="J140" i="23"/>
  <c r="M140" i="23"/>
  <c r="O140" i="23"/>
  <c r="P140" i="23"/>
  <c r="J141" i="23"/>
  <c r="M141" i="23"/>
  <c r="O141" i="23"/>
  <c r="P141" i="23"/>
  <c r="J142" i="23"/>
  <c r="M142" i="23"/>
  <c r="O142" i="23"/>
  <c r="P142" i="23"/>
  <c r="J143" i="23"/>
  <c r="M143" i="23"/>
  <c r="O143" i="23"/>
  <c r="P143" i="23"/>
  <c r="J144" i="23"/>
  <c r="M144" i="23"/>
  <c r="O144" i="23"/>
  <c r="P144" i="23"/>
  <c r="J145" i="23"/>
  <c r="M145" i="23"/>
  <c r="O145" i="23"/>
  <c r="P145" i="23"/>
  <c r="J146" i="23"/>
  <c r="M146" i="23"/>
  <c r="O146" i="23"/>
  <c r="P146" i="23"/>
  <c r="J147" i="23"/>
  <c r="M147" i="23"/>
  <c r="O147" i="23"/>
  <c r="P147" i="23"/>
  <c r="J148" i="23"/>
  <c r="M148" i="23"/>
  <c r="O148" i="23"/>
  <c r="P148" i="23"/>
  <c r="J149" i="23"/>
  <c r="M149" i="23"/>
  <c r="O149" i="23"/>
  <c r="P149" i="23"/>
  <c r="J150" i="23"/>
  <c r="M150" i="23"/>
  <c r="O150" i="23"/>
  <c r="P150" i="23"/>
  <c r="J151" i="23"/>
  <c r="M151" i="23"/>
  <c r="O151" i="23"/>
  <c r="P151" i="23"/>
  <c r="J152" i="23"/>
  <c r="M152" i="23"/>
  <c r="O152" i="23"/>
  <c r="P152" i="23"/>
  <c r="J153" i="23"/>
  <c r="M153" i="23"/>
  <c r="O153" i="23"/>
  <c r="P153" i="23"/>
  <c r="J154" i="23"/>
  <c r="M154" i="23"/>
  <c r="O154" i="23"/>
  <c r="P154" i="23"/>
  <c r="M17" i="22"/>
  <c r="N17" i="22"/>
  <c r="N101" i="11"/>
  <c r="O101" i="11" s="1"/>
  <c r="L101" i="11"/>
  <c r="M20" i="11"/>
  <c r="M21" i="10"/>
  <c r="N21" i="10"/>
  <c r="N102" i="10"/>
  <c r="L102" i="10"/>
  <c r="M20" i="9"/>
  <c r="N20" i="9"/>
  <c r="O20" i="9" s="1"/>
  <c r="N101" i="9"/>
  <c r="L101" i="9"/>
  <c r="N100" i="8"/>
  <c r="O100" i="8" s="1"/>
  <c r="L100" i="8"/>
  <c r="M100" i="8" s="1"/>
  <c r="M19" i="8"/>
  <c r="N102" i="7"/>
  <c r="L102" i="7"/>
  <c r="M102" i="7" s="1"/>
  <c r="M21" i="7"/>
  <c r="N100" i="6"/>
  <c r="O100" i="6" s="1"/>
  <c r="L100" i="6"/>
  <c r="M19" i="6"/>
  <c r="N99" i="5"/>
  <c r="L99" i="5"/>
  <c r="M99" i="5" s="1"/>
  <c r="M18" i="5"/>
  <c r="N99" i="4"/>
  <c r="L99" i="4"/>
  <c r="M18" i="4"/>
  <c r="N18" i="4" s="1"/>
  <c r="N99" i="3"/>
  <c r="L99" i="3"/>
  <c r="D10" i="7"/>
  <c r="L18" i="7"/>
  <c r="B100" i="7"/>
  <c r="B102" i="8"/>
  <c r="B101" i="8"/>
  <c r="B100" i="8"/>
  <c r="B103" i="9"/>
  <c r="B102" i="9"/>
  <c r="B101" i="9"/>
  <c r="B100" i="9"/>
  <c r="B104" i="10"/>
  <c r="B103" i="10"/>
  <c r="B102" i="10"/>
  <c r="B101" i="10"/>
  <c r="B100" i="10"/>
  <c r="B103" i="11"/>
  <c r="B102" i="11"/>
  <c r="B101" i="11"/>
  <c r="B100" i="11"/>
  <c r="B100" i="22"/>
  <c r="B104" i="7"/>
  <c r="B103" i="7"/>
  <c r="B20" i="8"/>
  <c r="B19" i="8"/>
  <c r="B18" i="8"/>
  <c r="B22" i="9"/>
  <c r="B21" i="9"/>
  <c r="B20" i="9"/>
  <c r="B19" i="9"/>
  <c r="B18" i="9"/>
  <c r="B23" i="10"/>
  <c r="B22" i="10"/>
  <c r="B21" i="10"/>
  <c r="B20" i="10"/>
  <c r="B19" i="10"/>
  <c r="B18" i="10"/>
  <c r="B22" i="11"/>
  <c r="B21" i="11"/>
  <c r="B20" i="11"/>
  <c r="B19" i="11"/>
  <c r="B18" i="11"/>
  <c r="B18" i="22"/>
  <c r="I14" i="13"/>
  <c r="B22" i="7"/>
  <c r="B101" i="4"/>
  <c r="B100" i="4"/>
  <c r="B101" i="5"/>
  <c r="B100" i="5"/>
  <c r="B101" i="3"/>
  <c r="B100" i="3"/>
  <c r="B20" i="4"/>
  <c r="B19" i="4"/>
  <c r="B18" i="4"/>
  <c r="B20" i="5"/>
  <c r="B19" i="5"/>
  <c r="B18" i="5"/>
  <c r="B19" i="3"/>
  <c r="B18" i="3"/>
  <c r="B18" i="6"/>
  <c r="B20" i="6"/>
  <c r="B19" i="6"/>
  <c r="B102" i="6"/>
  <c r="B101" i="6"/>
  <c r="B100" i="6"/>
  <c r="I18" i="3"/>
  <c r="I19" i="3"/>
  <c r="D90" i="4"/>
  <c r="D90" i="5"/>
  <c r="D90" i="6"/>
  <c r="D90" i="7"/>
  <c r="D90" i="8"/>
  <c r="D8" i="9"/>
  <c r="D90" i="9" s="1"/>
  <c r="D90" i="10"/>
  <c r="D90" i="11"/>
  <c r="D90" i="22"/>
  <c r="D90" i="13"/>
  <c r="W27" i="17"/>
  <c r="N99" i="6"/>
  <c r="O99" i="6" s="1"/>
  <c r="P99" i="6" s="1"/>
  <c r="P1" i="22"/>
  <c r="P83" i="22" s="1"/>
  <c r="I11" i="22"/>
  <c r="K11" i="22"/>
  <c r="I17" i="22"/>
  <c r="I18" i="22"/>
  <c r="L18" i="22"/>
  <c r="L19" i="22"/>
  <c r="N27" i="22"/>
  <c r="N28" i="22"/>
  <c r="L29" i="22"/>
  <c r="N29" i="22"/>
  <c r="L30" i="22"/>
  <c r="N30" i="22"/>
  <c r="L31" i="22"/>
  <c r="N31" i="22"/>
  <c r="L32" i="22"/>
  <c r="N32" i="22"/>
  <c r="L33" i="22"/>
  <c r="N33" i="22"/>
  <c r="L34" i="22"/>
  <c r="N34" i="22"/>
  <c r="L35" i="22"/>
  <c r="N35" i="22"/>
  <c r="L36" i="22"/>
  <c r="N36" i="22"/>
  <c r="L37" i="22"/>
  <c r="N37" i="22"/>
  <c r="L38" i="22"/>
  <c r="N38" i="22"/>
  <c r="L39" i="22"/>
  <c r="N39" i="22"/>
  <c r="L40" i="22"/>
  <c r="N40" i="22"/>
  <c r="L41" i="22"/>
  <c r="N41" i="22"/>
  <c r="L42" i="22"/>
  <c r="N42" i="22"/>
  <c r="L43" i="22"/>
  <c r="N43" i="22"/>
  <c r="L44" i="22"/>
  <c r="N44" i="22"/>
  <c r="L45" i="22"/>
  <c r="N45" i="22"/>
  <c r="L46" i="22"/>
  <c r="N46" i="22"/>
  <c r="L47" i="22"/>
  <c r="N47" i="22"/>
  <c r="L48" i="22"/>
  <c r="N48" i="22"/>
  <c r="L49" i="22"/>
  <c r="N49" i="22"/>
  <c r="L50" i="22"/>
  <c r="N50" i="22"/>
  <c r="L51" i="22"/>
  <c r="N51" i="22"/>
  <c r="L52" i="22"/>
  <c r="N52" i="22"/>
  <c r="L53" i="22"/>
  <c r="N53" i="22"/>
  <c r="L54" i="22"/>
  <c r="N54" i="22"/>
  <c r="L55" i="22"/>
  <c r="N55" i="22"/>
  <c r="L56" i="22"/>
  <c r="N56" i="22"/>
  <c r="L57" i="22"/>
  <c r="N57" i="22"/>
  <c r="L58" i="22"/>
  <c r="N58" i="22"/>
  <c r="L59" i="22"/>
  <c r="N59" i="22"/>
  <c r="L60" i="22"/>
  <c r="N60" i="22"/>
  <c r="L61" i="22"/>
  <c r="N61" i="22"/>
  <c r="L62" i="22"/>
  <c r="N62" i="22"/>
  <c r="L63" i="22"/>
  <c r="N63" i="22"/>
  <c r="L64" i="22"/>
  <c r="N64" i="22"/>
  <c r="L65" i="22"/>
  <c r="N65" i="22"/>
  <c r="L66" i="22"/>
  <c r="N66" i="22"/>
  <c r="L67" i="22"/>
  <c r="N67" i="22"/>
  <c r="L68" i="22"/>
  <c r="N68" i="22"/>
  <c r="L69" i="22"/>
  <c r="N69" i="22"/>
  <c r="L70" i="22"/>
  <c r="N70" i="22"/>
  <c r="L71" i="22"/>
  <c r="N71" i="22"/>
  <c r="L72" i="22"/>
  <c r="N72" i="22"/>
  <c r="D89" i="22"/>
  <c r="D91" i="22"/>
  <c r="J93" i="22"/>
  <c r="L93" i="22"/>
  <c r="D96" i="22"/>
  <c r="J99" i="22"/>
  <c r="M99" i="22"/>
  <c r="O99" i="22"/>
  <c r="M100" i="22"/>
  <c r="O100" i="22"/>
  <c r="O108" i="22"/>
  <c r="O109" i="22"/>
  <c r="M110" i="22"/>
  <c r="O110" i="22"/>
  <c r="M111" i="22"/>
  <c r="O111" i="22"/>
  <c r="M112" i="22"/>
  <c r="O112" i="22"/>
  <c r="M113" i="22"/>
  <c r="O113" i="22"/>
  <c r="M114" i="22"/>
  <c r="O114" i="22"/>
  <c r="M115" i="22"/>
  <c r="O115" i="22"/>
  <c r="M116" i="22"/>
  <c r="O116" i="22"/>
  <c r="M117" i="22"/>
  <c r="O117" i="22"/>
  <c r="M118" i="22"/>
  <c r="O118" i="22"/>
  <c r="M119" i="22"/>
  <c r="O119" i="22"/>
  <c r="M120" i="22"/>
  <c r="O120" i="22"/>
  <c r="M121" i="22"/>
  <c r="O121" i="22"/>
  <c r="M122" i="22"/>
  <c r="O122" i="22"/>
  <c r="M123" i="22"/>
  <c r="O123" i="22"/>
  <c r="M124" i="22"/>
  <c r="O124" i="22"/>
  <c r="M125" i="22"/>
  <c r="O125" i="22"/>
  <c r="M126" i="22"/>
  <c r="O126" i="22"/>
  <c r="M127" i="22"/>
  <c r="O127" i="22"/>
  <c r="M128" i="22"/>
  <c r="O128" i="22"/>
  <c r="M129" i="22"/>
  <c r="O129" i="22"/>
  <c r="M130" i="22"/>
  <c r="O130" i="22"/>
  <c r="J131" i="22"/>
  <c r="M131" i="22"/>
  <c r="O131" i="22"/>
  <c r="P131" i="22"/>
  <c r="J132" i="22"/>
  <c r="M132" i="22"/>
  <c r="O132" i="22"/>
  <c r="P132" i="22"/>
  <c r="J133" i="22"/>
  <c r="M133" i="22"/>
  <c r="O133" i="22"/>
  <c r="P133" i="22"/>
  <c r="J134" i="22"/>
  <c r="M134" i="22"/>
  <c r="O134" i="22"/>
  <c r="P134" i="22"/>
  <c r="J135" i="22"/>
  <c r="M135" i="22"/>
  <c r="O135" i="22"/>
  <c r="P135" i="22"/>
  <c r="J136" i="22"/>
  <c r="M136" i="22"/>
  <c r="O136" i="22"/>
  <c r="P136" i="22"/>
  <c r="J137" i="22"/>
  <c r="M137" i="22"/>
  <c r="O137" i="22"/>
  <c r="P137" i="22"/>
  <c r="J138" i="22"/>
  <c r="M138" i="22"/>
  <c r="O138" i="22"/>
  <c r="P138" i="22"/>
  <c r="J139" i="22"/>
  <c r="M139" i="22"/>
  <c r="O139" i="22"/>
  <c r="P139" i="22"/>
  <c r="J140" i="22"/>
  <c r="M140" i="22"/>
  <c r="O140" i="22"/>
  <c r="P140" i="22"/>
  <c r="J141" i="22"/>
  <c r="M141" i="22"/>
  <c r="O141" i="22"/>
  <c r="P141" i="22"/>
  <c r="J142" i="22"/>
  <c r="M142" i="22"/>
  <c r="O142" i="22"/>
  <c r="P142" i="22"/>
  <c r="J143" i="22"/>
  <c r="M143" i="22"/>
  <c r="O143" i="22"/>
  <c r="P143" i="22"/>
  <c r="J144" i="22"/>
  <c r="M144" i="22"/>
  <c r="O144" i="22"/>
  <c r="P144" i="22"/>
  <c r="J145" i="22"/>
  <c r="M145" i="22"/>
  <c r="O145" i="22"/>
  <c r="P145" i="22"/>
  <c r="J146" i="22"/>
  <c r="M146" i="22"/>
  <c r="O146" i="22"/>
  <c r="P146" i="22"/>
  <c r="J147" i="22"/>
  <c r="M147" i="22"/>
  <c r="O147" i="22"/>
  <c r="P147" i="22"/>
  <c r="J148" i="22"/>
  <c r="M148" i="22"/>
  <c r="O148" i="22"/>
  <c r="P148" i="22"/>
  <c r="J149" i="22"/>
  <c r="M149" i="22"/>
  <c r="O149" i="22"/>
  <c r="P149" i="22"/>
  <c r="J150" i="22"/>
  <c r="M150" i="22"/>
  <c r="O150" i="22"/>
  <c r="P150" i="22"/>
  <c r="J151" i="22"/>
  <c r="M151" i="22"/>
  <c r="O151" i="22"/>
  <c r="P151" i="22"/>
  <c r="J152" i="22"/>
  <c r="M152" i="22"/>
  <c r="O152" i="22"/>
  <c r="P152" i="22"/>
  <c r="J153" i="22"/>
  <c r="M153" i="22"/>
  <c r="O153" i="22"/>
  <c r="P153" i="22"/>
  <c r="J154" i="22"/>
  <c r="M154" i="22"/>
  <c r="O154" i="22"/>
  <c r="P154" i="22"/>
  <c r="P1" i="8"/>
  <c r="P83" i="8" s="1"/>
  <c r="P1" i="11"/>
  <c r="P83" i="11" s="1"/>
  <c r="G99" i="6"/>
  <c r="P12" i="17"/>
  <c r="L12" i="17"/>
  <c r="R12" i="17" s="1"/>
  <c r="W26" i="17"/>
  <c r="W25" i="17"/>
  <c r="W24" i="17"/>
  <c r="W23" i="17"/>
  <c r="W22" i="17"/>
  <c r="W21" i="17"/>
  <c r="W20" i="17"/>
  <c r="W19" i="17"/>
  <c r="W18" i="17"/>
  <c r="G12" i="17"/>
  <c r="T12" i="17" s="1"/>
  <c r="H3" i="3"/>
  <c r="H3" i="4"/>
  <c r="H3" i="5"/>
  <c r="H3" i="6"/>
  <c r="M101" i="7"/>
  <c r="C12" i="2"/>
  <c r="P1" i="13"/>
  <c r="P83" i="13" s="1"/>
  <c r="P1" i="4"/>
  <c r="P83" i="4" s="1"/>
  <c r="P1" i="5"/>
  <c r="P83" i="5" s="1"/>
  <c r="P1" i="6"/>
  <c r="P83" i="6" s="1"/>
  <c r="P1" i="7"/>
  <c r="P83" i="7" s="1"/>
  <c r="P1" i="9"/>
  <c r="P83" i="9" s="1"/>
  <c r="P1" i="10"/>
  <c r="P83" i="10" s="1"/>
  <c r="P1" i="3"/>
  <c r="P83" i="3" s="1"/>
  <c r="O3" i="3"/>
  <c r="A5" i="2"/>
  <c r="A1" i="2"/>
  <c r="F13" i="2"/>
  <c r="C79" i="2" s="1"/>
  <c r="C89" i="2"/>
  <c r="I11" i="13"/>
  <c r="K11" i="13"/>
  <c r="L17" i="13"/>
  <c r="N17" i="13"/>
  <c r="L18" i="13"/>
  <c r="N18" i="13"/>
  <c r="L19" i="13"/>
  <c r="N19" i="13"/>
  <c r="L20" i="13"/>
  <c r="N20" i="13"/>
  <c r="L21" i="13"/>
  <c r="N21" i="13"/>
  <c r="L22" i="13"/>
  <c r="N22" i="13"/>
  <c r="L23" i="13"/>
  <c r="N23" i="13"/>
  <c r="L24" i="13"/>
  <c r="N24" i="13"/>
  <c r="L25" i="13"/>
  <c r="N25" i="13"/>
  <c r="L26" i="13"/>
  <c r="N26" i="13"/>
  <c r="L27" i="13"/>
  <c r="N27" i="13"/>
  <c r="L28" i="13"/>
  <c r="N28" i="13"/>
  <c r="L29" i="13"/>
  <c r="N29" i="13"/>
  <c r="L30" i="13"/>
  <c r="N30" i="13"/>
  <c r="L31" i="13"/>
  <c r="N31" i="13"/>
  <c r="L32" i="13"/>
  <c r="N32" i="13"/>
  <c r="L33" i="13"/>
  <c r="N33" i="13"/>
  <c r="L34" i="13"/>
  <c r="N34" i="13"/>
  <c r="L35" i="13"/>
  <c r="N35" i="13"/>
  <c r="L36" i="13"/>
  <c r="N36" i="13"/>
  <c r="L37" i="13"/>
  <c r="N37" i="13"/>
  <c r="L38" i="13"/>
  <c r="N38" i="13"/>
  <c r="L39" i="13"/>
  <c r="N39" i="13"/>
  <c r="L40" i="13"/>
  <c r="N40" i="13"/>
  <c r="L41" i="13"/>
  <c r="N41" i="13"/>
  <c r="L42" i="13"/>
  <c r="N42" i="13"/>
  <c r="L43" i="13"/>
  <c r="N43" i="13"/>
  <c r="L44" i="13"/>
  <c r="N44" i="13"/>
  <c r="L45" i="13"/>
  <c r="N45" i="13"/>
  <c r="L46" i="13"/>
  <c r="N46" i="13"/>
  <c r="L47" i="13"/>
  <c r="N47" i="13"/>
  <c r="L48" i="13"/>
  <c r="N48" i="13"/>
  <c r="L49" i="13"/>
  <c r="N49" i="13"/>
  <c r="L50" i="13"/>
  <c r="N50" i="13"/>
  <c r="L51" i="13"/>
  <c r="N51" i="13"/>
  <c r="L52" i="13"/>
  <c r="N52" i="13"/>
  <c r="L53" i="13"/>
  <c r="N53" i="13"/>
  <c r="L54" i="13"/>
  <c r="N54" i="13"/>
  <c r="L55" i="13"/>
  <c r="N55" i="13"/>
  <c r="L56" i="13"/>
  <c r="N56" i="13"/>
  <c r="L57" i="13"/>
  <c r="N57" i="13"/>
  <c r="L58" i="13"/>
  <c r="N58" i="13"/>
  <c r="L59" i="13"/>
  <c r="N59" i="13"/>
  <c r="L60" i="13"/>
  <c r="N60" i="13"/>
  <c r="L61" i="13"/>
  <c r="N61" i="13"/>
  <c r="L62" i="13"/>
  <c r="N62" i="13"/>
  <c r="L63" i="13"/>
  <c r="N63" i="13"/>
  <c r="L64" i="13"/>
  <c r="N64" i="13"/>
  <c r="L65" i="13"/>
  <c r="N65" i="13"/>
  <c r="L66" i="13"/>
  <c r="N66" i="13"/>
  <c r="L67" i="13"/>
  <c r="N67" i="13"/>
  <c r="L68" i="13"/>
  <c r="N68" i="13"/>
  <c r="L69" i="13"/>
  <c r="N69" i="13"/>
  <c r="L70" i="13"/>
  <c r="N70" i="13"/>
  <c r="L71" i="13"/>
  <c r="N71" i="13"/>
  <c r="L72" i="13"/>
  <c r="N72" i="13"/>
  <c r="D89" i="13"/>
  <c r="D91" i="13"/>
  <c r="J93" i="13"/>
  <c r="L93" i="13"/>
  <c r="D96" i="13"/>
  <c r="M99" i="13"/>
  <c r="O99" i="13"/>
  <c r="M100" i="13"/>
  <c r="O100" i="13"/>
  <c r="M101" i="13"/>
  <c r="O101" i="13"/>
  <c r="M102" i="13"/>
  <c r="O102" i="13"/>
  <c r="M103" i="13"/>
  <c r="O103" i="13"/>
  <c r="M104" i="13"/>
  <c r="O104" i="13"/>
  <c r="M105" i="13"/>
  <c r="O105" i="13"/>
  <c r="M106" i="13"/>
  <c r="O106" i="13"/>
  <c r="M107" i="13"/>
  <c r="O107" i="13"/>
  <c r="M108" i="13"/>
  <c r="O108" i="13"/>
  <c r="M109" i="13"/>
  <c r="O109" i="13"/>
  <c r="M110" i="13"/>
  <c r="O110" i="13"/>
  <c r="M111" i="13"/>
  <c r="O111" i="13"/>
  <c r="M112" i="13"/>
  <c r="O112" i="13"/>
  <c r="M113" i="13"/>
  <c r="O113" i="13"/>
  <c r="M114" i="13"/>
  <c r="O114" i="13"/>
  <c r="M115" i="13"/>
  <c r="O115" i="13"/>
  <c r="M116" i="13"/>
  <c r="O116" i="13"/>
  <c r="M117" i="13"/>
  <c r="O117" i="13"/>
  <c r="M118" i="13"/>
  <c r="O118" i="13"/>
  <c r="M119" i="13"/>
  <c r="O119" i="13"/>
  <c r="M120" i="13"/>
  <c r="O120" i="13"/>
  <c r="M121" i="13"/>
  <c r="O121" i="13"/>
  <c r="M122" i="13"/>
  <c r="O122" i="13"/>
  <c r="M123" i="13"/>
  <c r="O123" i="13"/>
  <c r="M124" i="13"/>
  <c r="O124" i="13"/>
  <c r="M125" i="13"/>
  <c r="O125" i="13"/>
  <c r="M126" i="13"/>
  <c r="O126" i="13"/>
  <c r="M127" i="13"/>
  <c r="O127" i="13"/>
  <c r="M128" i="13"/>
  <c r="O128" i="13"/>
  <c r="M129" i="13"/>
  <c r="O129" i="13"/>
  <c r="M130" i="13"/>
  <c r="O130" i="13"/>
  <c r="J131" i="13"/>
  <c r="M131" i="13"/>
  <c r="O131" i="13"/>
  <c r="P131" i="13"/>
  <c r="J132" i="13"/>
  <c r="M132" i="13"/>
  <c r="O132" i="13"/>
  <c r="P132" i="13"/>
  <c r="J133" i="13"/>
  <c r="M133" i="13"/>
  <c r="O133" i="13"/>
  <c r="P133" i="13"/>
  <c r="J134" i="13"/>
  <c r="M134" i="13"/>
  <c r="O134" i="13"/>
  <c r="P134" i="13"/>
  <c r="J135" i="13"/>
  <c r="M135" i="13"/>
  <c r="O135" i="13"/>
  <c r="P135" i="13"/>
  <c r="J136" i="13"/>
  <c r="M136" i="13"/>
  <c r="O136" i="13"/>
  <c r="P136" i="13"/>
  <c r="J137" i="13"/>
  <c r="M137" i="13"/>
  <c r="O137" i="13"/>
  <c r="P137" i="13"/>
  <c r="J138" i="13"/>
  <c r="M138" i="13"/>
  <c r="O138" i="13"/>
  <c r="P138" i="13"/>
  <c r="J139" i="13"/>
  <c r="M139" i="13"/>
  <c r="O139" i="13"/>
  <c r="P139" i="13"/>
  <c r="J140" i="13"/>
  <c r="M140" i="13"/>
  <c r="O140" i="13"/>
  <c r="P140" i="13"/>
  <c r="J141" i="13"/>
  <c r="M141" i="13"/>
  <c r="O141" i="13"/>
  <c r="P141" i="13"/>
  <c r="J142" i="13"/>
  <c r="M142" i="13"/>
  <c r="O142" i="13"/>
  <c r="P142" i="13"/>
  <c r="J143" i="13"/>
  <c r="M143" i="13"/>
  <c r="O143" i="13"/>
  <c r="P143" i="13"/>
  <c r="J144" i="13"/>
  <c r="M144" i="13"/>
  <c r="O144" i="13"/>
  <c r="P144" i="13"/>
  <c r="J145" i="13"/>
  <c r="M145" i="13"/>
  <c r="O145" i="13"/>
  <c r="P145" i="13"/>
  <c r="J146" i="13"/>
  <c r="M146" i="13"/>
  <c r="O146" i="13"/>
  <c r="P146" i="13"/>
  <c r="J147" i="13"/>
  <c r="M147" i="13"/>
  <c r="O147" i="13"/>
  <c r="P147" i="13"/>
  <c r="J148" i="13"/>
  <c r="M148" i="13"/>
  <c r="O148" i="13"/>
  <c r="P148" i="13"/>
  <c r="J149" i="13"/>
  <c r="M149" i="13"/>
  <c r="O149" i="13"/>
  <c r="P149" i="13"/>
  <c r="J150" i="13"/>
  <c r="M150" i="13"/>
  <c r="O150" i="13"/>
  <c r="P150" i="13"/>
  <c r="J151" i="13"/>
  <c r="M151" i="13"/>
  <c r="O151" i="13"/>
  <c r="P151" i="13"/>
  <c r="J152" i="13"/>
  <c r="M152" i="13"/>
  <c r="O152" i="13"/>
  <c r="P152" i="13"/>
  <c r="J153" i="13"/>
  <c r="M153" i="13"/>
  <c r="O153" i="13"/>
  <c r="P153" i="13"/>
  <c r="J154" i="13"/>
  <c r="M154" i="13"/>
  <c r="O154" i="13"/>
  <c r="P154" i="13"/>
  <c r="I11" i="11"/>
  <c r="K11" i="11"/>
  <c r="I17" i="11"/>
  <c r="L17" i="11"/>
  <c r="N17" i="11"/>
  <c r="O17" i="11" s="1"/>
  <c r="I18" i="11"/>
  <c r="L18" i="11"/>
  <c r="N18" i="11"/>
  <c r="I19" i="11"/>
  <c r="L19" i="11"/>
  <c r="N19" i="11"/>
  <c r="I20" i="11"/>
  <c r="L20" i="11"/>
  <c r="N20" i="11"/>
  <c r="I21" i="11"/>
  <c r="N21" i="11"/>
  <c r="L22" i="11"/>
  <c r="N30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L50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3" i="11"/>
  <c r="N63" i="11"/>
  <c r="L64" i="11"/>
  <c r="N64" i="11"/>
  <c r="L65" i="11"/>
  <c r="N65" i="11"/>
  <c r="L66" i="11"/>
  <c r="N66" i="11"/>
  <c r="L67" i="11"/>
  <c r="N67" i="11"/>
  <c r="L68" i="11"/>
  <c r="N68" i="11"/>
  <c r="L69" i="11"/>
  <c r="N69" i="11"/>
  <c r="L70" i="11"/>
  <c r="N70" i="11"/>
  <c r="L71" i="11"/>
  <c r="N71" i="11"/>
  <c r="L72" i="11"/>
  <c r="N72" i="11"/>
  <c r="D89" i="11"/>
  <c r="D91" i="11"/>
  <c r="J93" i="11"/>
  <c r="L93" i="11"/>
  <c r="D96" i="11"/>
  <c r="J99" i="11"/>
  <c r="M99" i="11"/>
  <c r="O99" i="11"/>
  <c r="J100" i="11"/>
  <c r="M100" i="11"/>
  <c r="O100" i="11"/>
  <c r="J101" i="11"/>
  <c r="M101" i="11"/>
  <c r="J102" i="11"/>
  <c r="O102" i="11"/>
  <c r="O103" i="11"/>
  <c r="O111" i="11"/>
  <c r="O112" i="11"/>
  <c r="M113" i="11"/>
  <c r="O113" i="11"/>
  <c r="M114" i="11"/>
  <c r="O114" i="11"/>
  <c r="M115" i="11"/>
  <c r="O115" i="11"/>
  <c r="M116" i="11"/>
  <c r="O116" i="11"/>
  <c r="M117" i="11"/>
  <c r="O117" i="11"/>
  <c r="M118" i="11"/>
  <c r="O118" i="11"/>
  <c r="M119" i="11"/>
  <c r="O119" i="11"/>
  <c r="M120" i="11"/>
  <c r="O120" i="11"/>
  <c r="M121" i="11"/>
  <c r="O121" i="11"/>
  <c r="M122" i="11"/>
  <c r="O122" i="11"/>
  <c r="M123" i="11"/>
  <c r="O123" i="11"/>
  <c r="M124" i="11"/>
  <c r="O124" i="11"/>
  <c r="M125" i="11"/>
  <c r="O125" i="11"/>
  <c r="M126" i="11"/>
  <c r="O126" i="11"/>
  <c r="M127" i="11"/>
  <c r="O127" i="11"/>
  <c r="M128" i="11"/>
  <c r="O128" i="11"/>
  <c r="M129" i="11"/>
  <c r="O129" i="11"/>
  <c r="M130" i="11"/>
  <c r="O130" i="11"/>
  <c r="J131" i="11"/>
  <c r="M131" i="11"/>
  <c r="O131" i="11"/>
  <c r="P131" i="11"/>
  <c r="J132" i="11"/>
  <c r="M132" i="11"/>
  <c r="O132" i="11"/>
  <c r="P132" i="11"/>
  <c r="J133" i="11"/>
  <c r="M133" i="11"/>
  <c r="O133" i="11"/>
  <c r="P133" i="11"/>
  <c r="J134" i="11"/>
  <c r="M134" i="11"/>
  <c r="O134" i="11"/>
  <c r="P134" i="11"/>
  <c r="J135" i="11"/>
  <c r="M135" i="11"/>
  <c r="O135" i="11"/>
  <c r="P135" i="11"/>
  <c r="J136" i="11"/>
  <c r="M136" i="11"/>
  <c r="O136" i="11"/>
  <c r="P136" i="11"/>
  <c r="J137" i="11"/>
  <c r="M137" i="11"/>
  <c r="O137" i="11"/>
  <c r="P137" i="11"/>
  <c r="J138" i="11"/>
  <c r="M138" i="11"/>
  <c r="O138" i="11"/>
  <c r="P138" i="11"/>
  <c r="J139" i="11"/>
  <c r="M139" i="11"/>
  <c r="O139" i="11"/>
  <c r="P139" i="11"/>
  <c r="J140" i="11"/>
  <c r="M140" i="11"/>
  <c r="O140" i="11"/>
  <c r="P140" i="11"/>
  <c r="J141" i="11"/>
  <c r="M141" i="11"/>
  <c r="O141" i="11"/>
  <c r="P141" i="11"/>
  <c r="J142" i="11"/>
  <c r="M142" i="11"/>
  <c r="O142" i="11"/>
  <c r="P142" i="11"/>
  <c r="J143" i="11"/>
  <c r="M143" i="11"/>
  <c r="O143" i="11"/>
  <c r="P143" i="11"/>
  <c r="J144" i="11"/>
  <c r="M144" i="11"/>
  <c r="O144" i="11"/>
  <c r="P144" i="11"/>
  <c r="J145" i="11"/>
  <c r="M145" i="11"/>
  <c r="O145" i="11"/>
  <c r="P145" i="11"/>
  <c r="J146" i="11"/>
  <c r="M146" i="11"/>
  <c r="O146" i="11"/>
  <c r="P146" i="11"/>
  <c r="J147" i="11"/>
  <c r="M147" i="11"/>
  <c r="O147" i="11"/>
  <c r="P147" i="11"/>
  <c r="J148" i="11"/>
  <c r="M148" i="11"/>
  <c r="O148" i="11"/>
  <c r="P148" i="11"/>
  <c r="J149" i="11"/>
  <c r="M149" i="11"/>
  <c r="O149" i="11"/>
  <c r="P149" i="11"/>
  <c r="J150" i="11"/>
  <c r="M150" i="11"/>
  <c r="O150" i="11"/>
  <c r="P150" i="11"/>
  <c r="J151" i="11"/>
  <c r="M151" i="11"/>
  <c r="O151" i="11"/>
  <c r="P151" i="11"/>
  <c r="J152" i="11"/>
  <c r="M152" i="11"/>
  <c r="O152" i="11"/>
  <c r="P152" i="11"/>
  <c r="J153" i="11"/>
  <c r="M153" i="11"/>
  <c r="O153" i="11"/>
  <c r="P153" i="11"/>
  <c r="J154" i="11"/>
  <c r="M154" i="11"/>
  <c r="O154" i="11"/>
  <c r="P154" i="11"/>
  <c r="I11" i="10"/>
  <c r="K11" i="10"/>
  <c r="I17" i="10"/>
  <c r="L17" i="10"/>
  <c r="O17" i="10" s="1"/>
  <c r="N17" i="10"/>
  <c r="I18" i="10"/>
  <c r="L18" i="10"/>
  <c r="O18" i="10" s="1"/>
  <c r="N18" i="10"/>
  <c r="I19" i="10"/>
  <c r="L19" i="10"/>
  <c r="O19" i="10" s="1"/>
  <c r="N19" i="10"/>
  <c r="I20" i="10"/>
  <c r="L20" i="10"/>
  <c r="O20" i="10" s="1"/>
  <c r="N20" i="10"/>
  <c r="I21" i="10"/>
  <c r="L21" i="10"/>
  <c r="I22" i="10"/>
  <c r="L22" i="10"/>
  <c r="N22" i="10"/>
  <c r="O22" i="10" s="1"/>
  <c r="L23" i="10"/>
  <c r="N31" i="10"/>
  <c r="N32" i="10"/>
  <c r="L33" i="10"/>
  <c r="N33" i="10"/>
  <c r="L34" i="10"/>
  <c r="N34" i="10"/>
  <c r="L35" i="10"/>
  <c r="N35" i="10"/>
  <c r="L36" i="10"/>
  <c r="N36" i="10"/>
  <c r="L37" i="10"/>
  <c r="N37" i="10"/>
  <c r="L38" i="10"/>
  <c r="N38" i="10"/>
  <c r="L39" i="10"/>
  <c r="N39" i="10"/>
  <c r="L40" i="10"/>
  <c r="N40" i="10"/>
  <c r="L41" i="10"/>
  <c r="N41" i="10"/>
  <c r="L42" i="10"/>
  <c r="N42" i="10"/>
  <c r="L43" i="10"/>
  <c r="N43" i="10"/>
  <c r="L44" i="10"/>
  <c r="N44" i="10"/>
  <c r="L45" i="10"/>
  <c r="N45" i="10"/>
  <c r="L46" i="10"/>
  <c r="N46" i="10"/>
  <c r="L47" i="10"/>
  <c r="N47" i="10"/>
  <c r="L48" i="10"/>
  <c r="N48" i="10"/>
  <c r="L49" i="10"/>
  <c r="N49" i="10"/>
  <c r="L50" i="10"/>
  <c r="N50" i="10"/>
  <c r="L51" i="10"/>
  <c r="N51" i="10"/>
  <c r="L52" i="10"/>
  <c r="N52" i="10"/>
  <c r="L53" i="10"/>
  <c r="N53" i="10"/>
  <c r="L54" i="10"/>
  <c r="N54" i="10"/>
  <c r="L55" i="10"/>
  <c r="N55" i="10"/>
  <c r="L56" i="10"/>
  <c r="N56" i="10"/>
  <c r="L57" i="10"/>
  <c r="N57" i="10"/>
  <c r="L58" i="10"/>
  <c r="N58" i="10"/>
  <c r="L59" i="10"/>
  <c r="N59" i="10"/>
  <c r="L60" i="10"/>
  <c r="N60" i="10"/>
  <c r="L61" i="10"/>
  <c r="N61" i="10"/>
  <c r="L62" i="10"/>
  <c r="N62" i="10"/>
  <c r="L63" i="10"/>
  <c r="N63" i="10"/>
  <c r="L64" i="10"/>
  <c r="N64" i="10"/>
  <c r="L65" i="10"/>
  <c r="N65" i="10"/>
  <c r="L66" i="10"/>
  <c r="N66" i="10"/>
  <c r="L67" i="10"/>
  <c r="N67" i="10"/>
  <c r="L68" i="10"/>
  <c r="N68" i="10"/>
  <c r="L69" i="10"/>
  <c r="N69" i="10"/>
  <c r="L70" i="10"/>
  <c r="N70" i="10"/>
  <c r="L71" i="10"/>
  <c r="N71" i="10"/>
  <c r="L72" i="10"/>
  <c r="N72" i="10"/>
  <c r="D89" i="10"/>
  <c r="D91" i="10"/>
  <c r="J93" i="10"/>
  <c r="L93" i="10"/>
  <c r="D96" i="10"/>
  <c r="J99" i="10"/>
  <c r="M99" i="10"/>
  <c r="O99" i="10"/>
  <c r="J100" i="10"/>
  <c r="M100" i="10"/>
  <c r="O100" i="10"/>
  <c r="J101" i="10"/>
  <c r="M101" i="10"/>
  <c r="O101" i="10"/>
  <c r="P101" i="10" s="1"/>
  <c r="J102" i="10"/>
  <c r="M102" i="10"/>
  <c r="O102" i="10"/>
  <c r="J103" i="10"/>
  <c r="M103" i="10"/>
  <c r="O103" i="10"/>
  <c r="M104" i="10"/>
  <c r="O104" i="10"/>
  <c r="O112" i="10"/>
  <c r="O113" i="10"/>
  <c r="M114" i="10"/>
  <c r="O114" i="10"/>
  <c r="M115" i="10"/>
  <c r="O115" i="10"/>
  <c r="M116" i="10"/>
  <c r="O116" i="10"/>
  <c r="M117" i="10"/>
  <c r="O117" i="10"/>
  <c r="M118" i="10"/>
  <c r="O118" i="10"/>
  <c r="M119" i="10"/>
  <c r="O119" i="10"/>
  <c r="M120" i="10"/>
  <c r="O120" i="10"/>
  <c r="M121" i="10"/>
  <c r="O121" i="10"/>
  <c r="M122" i="10"/>
  <c r="O122" i="10"/>
  <c r="M123" i="10"/>
  <c r="O123" i="10"/>
  <c r="M124" i="10"/>
  <c r="O124" i="10"/>
  <c r="M125" i="10"/>
  <c r="O125" i="10"/>
  <c r="M126" i="10"/>
  <c r="O126" i="10"/>
  <c r="M127" i="10"/>
  <c r="O127" i="10"/>
  <c r="M128" i="10"/>
  <c r="O128" i="10"/>
  <c r="M129" i="10"/>
  <c r="O129" i="10"/>
  <c r="M130" i="10"/>
  <c r="O130" i="10"/>
  <c r="M131" i="10"/>
  <c r="O131" i="10"/>
  <c r="M132" i="10"/>
  <c r="O132" i="10"/>
  <c r="M133" i="10"/>
  <c r="O133" i="10"/>
  <c r="M134" i="10"/>
  <c r="O134" i="10"/>
  <c r="M135" i="10"/>
  <c r="O135" i="10"/>
  <c r="M136" i="10"/>
  <c r="O136" i="10"/>
  <c r="M137" i="10"/>
  <c r="O137" i="10"/>
  <c r="M138" i="10"/>
  <c r="O138" i="10"/>
  <c r="M139" i="10"/>
  <c r="O139" i="10"/>
  <c r="M140" i="10"/>
  <c r="O140" i="10"/>
  <c r="M141" i="10"/>
  <c r="O141" i="10"/>
  <c r="M142" i="10"/>
  <c r="O142" i="10"/>
  <c r="M143" i="10"/>
  <c r="O143" i="10"/>
  <c r="M144" i="10"/>
  <c r="O144" i="10"/>
  <c r="M145" i="10"/>
  <c r="O145" i="10"/>
  <c r="M146" i="10"/>
  <c r="O146" i="10"/>
  <c r="M147" i="10"/>
  <c r="O147" i="10"/>
  <c r="M148" i="10"/>
  <c r="O148" i="10"/>
  <c r="M149" i="10"/>
  <c r="O149" i="10"/>
  <c r="M150" i="10"/>
  <c r="O150" i="10"/>
  <c r="M151" i="10"/>
  <c r="O151" i="10"/>
  <c r="M152" i="10"/>
  <c r="O152" i="10"/>
  <c r="M153" i="10"/>
  <c r="O153" i="10"/>
  <c r="M154" i="10"/>
  <c r="O154" i="10"/>
  <c r="I11" i="9"/>
  <c r="K11" i="9"/>
  <c r="I17" i="9"/>
  <c r="L17" i="9"/>
  <c r="N17" i="9"/>
  <c r="O17" i="9"/>
  <c r="I18" i="9"/>
  <c r="L18" i="9"/>
  <c r="N18" i="9"/>
  <c r="O18" i="9"/>
  <c r="I19" i="9"/>
  <c r="L19" i="9"/>
  <c r="N19" i="9"/>
  <c r="O19" i="9"/>
  <c r="I21" i="9"/>
  <c r="N30" i="9"/>
  <c r="N31" i="9"/>
  <c r="L32" i="9"/>
  <c r="N32" i="9"/>
  <c r="L33" i="9"/>
  <c r="N33" i="9"/>
  <c r="L34" i="9"/>
  <c r="N34" i="9"/>
  <c r="L35" i="9"/>
  <c r="N35" i="9"/>
  <c r="L36" i="9"/>
  <c r="N36" i="9"/>
  <c r="L37" i="9"/>
  <c r="N37" i="9"/>
  <c r="L38" i="9"/>
  <c r="N38" i="9"/>
  <c r="L39" i="9"/>
  <c r="N39" i="9"/>
  <c r="L40" i="9"/>
  <c r="N40" i="9"/>
  <c r="L41" i="9"/>
  <c r="N41" i="9"/>
  <c r="L42" i="9"/>
  <c r="N42" i="9"/>
  <c r="L43" i="9"/>
  <c r="N43" i="9"/>
  <c r="L44" i="9"/>
  <c r="N44" i="9"/>
  <c r="L45" i="9"/>
  <c r="N45" i="9"/>
  <c r="L46" i="9"/>
  <c r="N46" i="9"/>
  <c r="L47" i="9"/>
  <c r="N47" i="9"/>
  <c r="L48" i="9"/>
  <c r="N48" i="9"/>
  <c r="L49" i="9"/>
  <c r="N49" i="9"/>
  <c r="L50" i="9"/>
  <c r="N50" i="9"/>
  <c r="L51" i="9"/>
  <c r="N51" i="9"/>
  <c r="L52" i="9"/>
  <c r="N52" i="9"/>
  <c r="L53" i="9"/>
  <c r="N53" i="9"/>
  <c r="L54" i="9"/>
  <c r="N54" i="9"/>
  <c r="L55" i="9"/>
  <c r="N55" i="9"/>
  <c r="L56" i="9"/>
  <c r="N56" i="9"/>
  <c r="L57" i="9"/>
  <c r="N57" i="9"/>
  <c r="L58" i="9"/>
  <c r="N58" i="9"/>
  <c r="L59" i="9"/>
  <c r="N59" i="9"/>
  <c r="L60" i="9"/>
  <c r="N60" i="9"/>
  <c r="L61" i="9"/>
  <c r="N61" i="9"/>
  <c r="L62" i="9"/>
  <c r="N62" i="9"/>
  <c r="L63" i="9"/>
  <c r="N63" i="9"/>
  <c r="L64" i="9"/>
  <c r="N64" i="9"/>
  <c r="L65" i="9"/>
  <c r="N65" i="9"/>
  <c r="L66" i="9"/>
  <c r="N66" i="9"/>
  <c r="L67" i="9"/>
  <c r="N67" i="9"/>
  <c r="L68" i="9"/>
  <c r="N68" i="9"/>
  <c r="L69" i="9"/>
  <c r="N69" i="9"/>
  <c r="L70" i="9"/>
  <c r="N70" i="9"/>
  <c r="L71" i="9"/>
  <c r="N71" i="9"/>
  <c r="L72" i="9"/>
  <c r="N72" i="9"/>
  <c r="D89" i="9"/>
  <c r="D91" i="9"/>
  <c r="J93" i="9"/>
  <c r="L93" i="9"/>
  <c r="D96" i="9"/>
  <c r="J99" i="9"/>
  <c r="M99" i="9"/>
  <c r="O99" i="9"/>
  <c r="J100" i="9"/>
  <c r="M100" i="9"/>
  <c r="O100" i="9"/>
  <c r="J101" i="9"/>
  <c r="M101" i="9"/>
  <c r="O101" i="9"/>
  <c r="P101" i="9" s="1"/>
  <c r="J102" i="9"/>
  <c r="O102" i="9"/>
  <c r="P102" i="9" s="1"/>
  <c r="M103" i="9"/>
  <c r="O103" i="9"/>
  <c r="P103" i="9" s="1"/>
  <c r="O111" i="9"/>
  <c r="O112" i="9"/>
  <c r="M113" i="9"/>
  <c r="O113" i="9"/>
  <c r="M114" i="9"/>
  <c r="O114" i="9"/>
  <c r="M115" i="9"/>
  <c r="O115" i="9"/>
  <c r="M116" i="9"/>
  <c r="O116" i="9"/>
  <c r="M117" i="9"/>
  <c r="O117" i="9"/>
  <c r="M118" i="9"/>
  <c r="O118" i="9"/>
  <c r="M119" i="9"/>
  <c r="O119" i="9"/>
  <c r="M120" i="9"/>
  <c r="O120" i="9"/>
  <c r="M121" i="9"/>
  <c r="O121" i="9"/>
  <c r="M122" i="9"/>
  <c r="O122" i="9"/>
  <c r="M123" i="9"/>
  <c r="O123" i="9"/>
  <c r="M124" i="9"/>
  <c r="O124" i="9"/>
  <c r="M125" i="9"/>
  <c r="O125" i="9"/>
  <c r="M126" i="9"/>
  <c r="O126" i="9"/>
  <c r="M127" i="9"/>
  <c r="O127" i="9"/>
  <c r="M128" i="9"/>
  <c r="O128" i="9"/>
  <c r="M129" i="9"/>
  <c r="O129" i="9"/>
  <c r="M130" i="9"/>
  <c r="O130" i="9"/>
  <c r="J131" i="9"/>
  <c r="M131" i="9"/>
  <c r="O131" i="9"/>
  <c r="P131" i="9"/>
  <c r="J132" i="9"/>
  <c r="M132" i="9"/>
  <c r="O132" i="9"/>
  <c r="P132" i="9"/>
  <c r="J133" i="9"/>
  <c r="M133" i="9"/>
  <c r="O133" i="9"/>
  <c r="P133" i="9"/>
  <c r="J134" i="9"/>
  <c r="M134" i="9"/>
  <c r="O134" i="9"/>
  <c r="P134" i="9"/>
  <c r="J135" i="9"/>
  <c r="M135" i="9"/>
  <c r="O135" i="9"/>
  <c r="P135" i="9"/>
  <c r="J136" i="9"/>
  <c r="M136" i="9"/>
  <c r="O136" i="9"/>
  <c r="P136" i="9"/>
  <c r="J137" i="9"/>
  <c r="M137" i="9"/>
  <c r="O137" i="9"/>
  <c r="P137" i="9"/>
  <c r="J138" i="9"/>
  <c r="M138" i="9"/>
  <c r="O138" i="9"/>
  <c r="P138" i="9"/>
  <c r="J139" i="9"/>
  <c r="M139" i="9"/>
  <c r="O139" i="9"/>
  <c r="P139" i="9"/>
  <c r="J140" i="9"/>
  <c r="M140" i="9"/>
  <c r="O140" i="9"/>
  <c r="P140" i="9"/>
  <c r="J141" i="9"/>
  <c r="M141" i="9"/>
  <c r="O141" i="9"/>
  <c r="P141" i="9"/>
  <c r="J142" i="9"/>
  <c r="M142" i="9"/>
  <c r="O142" i="9"/>
  <c r="P142" i="9"/>
  <c r="J143" i="9"/>
  <c r="M143" i="9"/>
  <c r="O143" i="9"/>
  <c r="P143" i="9"/>
  <c r="J144" i="9"/>
  <c r="M144" i="9"/>
  <c r="O144" i="9"/>
  <c r="P144" i="9"/>
  <c r="J145" i="9"/>
  <c r="M145" i="9"/>
  <c r="O145" i="9"/>
  <c r="P145" i="9"/>
  <c r="J146" i="9"/>
  <c r="M146" i="9"/>
  <c r="O146" i="9"/>
  <c r="P146" i="9"/>
  <c r="J147" i="9"/>
  <c r="M147" i="9"/>
  <c r="O147" i="9"/>
  <c r="P147" i="9"/>
  <c r="J148" i="9"/>
  <c r="M148" i="9"/>
  <c r="O148" i="9"/>
  <c r="P148" i="9"/>
  <c r="J149" i="9"/>
  <c r="M149" i="9"/>
  <c r="O149" i="9"/>
  <c r="P149" i="9"/>
  <c r="J150" i="9"/>
  <c r="M150" i="9"/>
  <c r="O150" i="9"/>
  <c r="P150" i="9"/>
  <c r="J151" i="9"/>
  <c r="M151" i="9"/>
  <c r="O151" i="9"/>
  <c r="P151" i="9"/>
  <c r="J152" i="9"/>
  <c r="M152" i="9"/>
  <c r="O152" i="9"/>
  <c r="P152" i="9"/>
  <c r="J153" i="9"/>
  <c r="M153" i="9"/>
  <c r="O153" i="9"/>
  <c r="P153" i="9"/>
  <c r="J154" i="9"/>
  <c r="M154" i="9"/>
  <c r="O154" i="9"/>
  <c r="P154" i="9"/>
  <c r="I11" i="8"/>
  <c r="K11" i="8"/>
  <c r="I17" i="8"/>
  <c r="L17" i="8"/>
  <c r="O17" i="8" s="1"/>
  <c r="N17" i="8"/>
  <c r="I18" i="8"/>
  <c r="L18" i="8"/>
  <c r="N18" i="8"/>
  <c r="O18" i="8" s="1"/>
  <c r="I19" i="8"/>
  <c r="N19" i="8"/>
  <c r="I20" i="8"/>
  <c r="L20" i="8"/>
  <c r="N20" i="8"/>
  <c r="O20" i="8" s="1"/>
  <c r="L21" i="8"/>
  <c r="N29" i="8"/>
  <c r="N30" i="8"/>
  <c r="L31" i="8"/>
  <c r="N31" i="8"/>
  <c r="L32" i="8"/>
  <c r="N32" i="8"/>
  <c r="L33" i="8"/>
  <c r="N33" i="8"/>
  <c r="L34" i="8"/>
  <c r="N34" i="8"/>
  <c r="L35" i="8"/>
  <c r="N35" i="8"/>
  <c r="L36" i="8"/>
  <c r="N36" i="8"/>
  <c r="L37" i="8"/>
  <c r="N37" i="8"/>
  <c r="L38" i="8"/>
  <c r="N38" i="8"/>
  <c r="L39" i="8"/>
  <c r="N39" i="8"/>
  <c r="L40" i="8"/>
  <c r="N40" i="8"/>
  <c r="L41" i="8"/>
  <c r="N41" i="8"/>
  <c r="L42" i="8"/>
  <c r="N42" i="8"/>
  <c r="L43" i="8"/>
  <c r="N43" i="8"/>
  <c r="L44" i="8"/>
  <c r="N44" i="8"/>
  <c r="L45" i="8"/>
  <c r="N45" i="8"/>
  <c r="C53" i="8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/>
  <c r="C66" i="8" s="1"/>
  <c r="C67" i="8" s="1"/>
  <c r="C68" i="8" s="1"/>
  <c r="C69" i="8" s="1"/>
  <c r="C70" i="8" s="1"/>
  <c r="C71" i="8" s="1"/>
  <c r="C72" i="8" s="1"/>
  <c r="L46" i="8"/>
  <c r="N46" i="8"/>
  <c r="L47" i="8"/>
  <c r="N47" i="8"/>
  <c r="L48" i="8"/>
  <c r="N48" i="8"/>
  <c r="L49" i="8"/>
  <c r="N49" i="8"/>
  <c r="L50" i="8"/>
  <c r="N50" i="8"/>
  <c r="L51" i="8"/>
  <c r="N51" i="8"/>
  <c r="L52" i="8"/>
  <c r="N52" i="8"/>
  <c r="L53" i="8"/>
  <c r="N53" i="8"/>
  <c r="L54" i="8"/>
  <c r="N54" i="8"/>
  <c r="L55" i="8"/>
  <c r="N55" i="8"/>
  <c r="L56" i="8"/>
  <c r="N56" i="8"/>
  <c r="L57" i="8"/>
  <c r="N57" i="8"/>
  <c r="L58" i="8"/>
  <c r="N58" i="8"/>
  <c r="L59" i="8"/>
  <c r="N59" i="8"/>
  <c r="L60" i="8"/>
  <c r="N60" i="8"/>
  <c r="L61" i="8"/>
  <c r="N61" i="8"/>
  <c r="L62" i="8"/>
  <c r="N62" i="8"/>
  <c r="L63" i="8"/>
  <c r="N63" i="8"/>
  <c r="L64" i="8"/>
  <c r="N64" i="8"/>
  <c r="L65" i="8"/>
  <c r="N65" i="8"/>
  <c r="L66" i="8"/>
  <c r="N66" i="8"/>
  <c r="L67" i="8"/>
  <c r="N67" i="8"/>
  <c r="L68" i="8"/>
  <c r="N68" i="8"/>
  <c r="L69" i="8"/>
  <c r="N69" i="8"/>
  <c r="L70" i="8"/>
  <c r="N70" i="8"/>
  <c r="L71" i="8"/>
  <c r="N71" i="8"/>
  <c r="L72" i="8"/>
  <c r="N72" i="8"/>
  <c r="D89" i="8"/>
  <c r="D91" i="8"/>
  <c r="J93" i="8"/>
  <c r="L93" i="8"/>
  <c r="D96" i="8"/>
  <c r="J99" i="8"/>
  <c r="M99" i="8"/>
  <c r="P99" i="8" s="1"/>
  <c r="O99" i="8"/>
  <c r="J100" i="8"/>
  <c r="J101" i="8"/>
  <c r="O101" i="8"/>
  <c r="P101" i="8" s="1"/>
  <c r="M102" i="8"/>
  <c r="O102" i="8"/>
  <c r="P102" i="8" s="1"/>
  <c r="O110" i="8"/>
  <c r="O111" i="8"/>
  <c r="M112" i="8"/>
  <c r="O112" i="8"/>
  <c r="M113" i="8"/>
  <c r="O113" i="8"/>
  <c r="M114" i="8"/>
  <c r="O114" i="8"/>
  <c r="M115" i="8"/>
  <c r="O115" i="8"/>
  <c r="M116" i="8"/>
  <c r="O116" i="8"/>
  <c r="M117" i="8"/>
  <c r="O117" i="8"/>
  <c r="M118" i="8"/>
  <c r="O118" i="8"/>
  <c r="M119" i="8"/>
  <c r="O119" i="8"/>
  <c r="M120" i="8"/>
  <c r="O120" i="8"/>
  <c r="M121" i="8"/>
  <c r="O121" i="8"/>
  <c r="M122" i="8"/>
  <c r="O122" i="8"/>
  <c r="M123" i="8"/>
  <c r="O123" i="8"/>
  <c r="M124" i="8"/>
  <c r="O124" i="8"/>
  <c r="M125" i="8"/>
  <c r="O125" i="8"/>
  <c r="M126" i="8"/>
  <c r="O126" i="8"/>
  <c r="M127" i="8"/>
  <c r="O127" i="8"/>
  <c r="M128" i="8"/>
  <c r="O128" i="8"/>
  <c r="M129" i="8"/>
  <c r="O129" i="8"/>
  <c r="M130" i="8"/>
  <c r="O130" i="8"/>
  <c r="M131" i="8"/>
  <c r="O131" i="8"/>
  <c r="M132" i="8"/>
  <c r="O132" i="8"/>
  <c r="M133" i="8"/>
  <c r="O133" i="8"/>
  <c r="M134" i="8"/>
  <c r="O134" i="8"/>
  <c r="M135" i="8"/>
  <c r="O135" i="8"/>
  <c r="M136" i="8"/>
  <c r="O136" i="8"/>
  <c r="M137" i="8"/>
  <c r="O137" i="8"/>
  <c r="M138" i="8"/>
  <c r="O138" i="8"/>
  <c r="M139" i="8"/>
  <c r="O139" i="8"/>
  <c r="M140" i="8"/>
  <c r="O140" i="8"/>
  <c r="M141" i="8"/>
  <c r="O141" i="8"/>
  <c r="M142" i="8"/>
  <c r="O142" i="8"/>
  <c r="M143" i="8"/>
  <c r="O143" i="8"/>
  <c r="M144" i="8"/>
  <c r="O144" i="8"/>
  <c r="M145" i="8"/>
  <c r="O145" i="8"/>
  <c r="M146" i="8"/>
  <c r="O146" i="8"/>
  <c r="M147" i="8"/>
  <c r="O147" i="8"/>
  <c r="M148" i="8"/>
  <c r="O148" i="8"/>
  <c r="M149" i="8"/>
  <c r="O149" i="8"/>
  <c r="M150" i="8"/>
  <c r="O150" i="8"/>
  <c r="M151" i="8"/>
  <c r="O151" i="8"/>
  <c r="M152" i="8"/>
  <c r="O152" i="8"/>
  <c r="M153" i="8"/>
  <c r="O153" i="8"/>
  <c r="M154" i="8"/>
  <c r="O154" i="8"/>
  <c r="I11" i="7"/>
  <c r="K11" i="7"/>
  <c r="I17" i="7"/>
  <c r="L17" i="7"/>
  <c r="N17" i="7"/>
  <c r="O17" i="7" s="1"/>
  <c r="I18" i="7"/>
  <c r="N18" i="7"/>
  <c r="I19" i="7"/>
  <c r="L19" i="7"/>
  <c r="N19" i="7"/>
  <c r="I20" i="7"/>
  <c r="L20" i="7"/>
  <c r="N20" i="7"/>
  <c r="I21" i="7"/>
  <c r="L21" i="7"/>
  <c r="N21" i="7"/>
  <c r="O21" i="7" s="1"/>
  <c r="I22" i="7"/>
  <c r="N22" i="7"/>
  <c r="L23" i="7"/>
  <c r="N31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1" i="7"/>
  <c r="N41" i="7"/>
  <c r="L42" i="7"/>
  <c r="N42" i="7"/>
  <c r="L43" i="7"/>
  <c r="N43" i="7"/>
  <c r="L44" i="7"/>
  <c r="N44" i="7"/>
  <c r="L45" i="7"/>
  <c r="N45" i="7"/>
  <c r="L46" i="7"/>
  <c r="N46" i="7"/>
  <c r="L47" i="7"/>
  <c r="N47" i="7"/>
  <c r="L48" i="7"/>
  <c r="N48" i="7"/>
  <c r="L49" i="7"/>
  <c r="N49" i="7"/>
  <c r="L50" i="7"/>
  <c r="N50" i="7"/>
  <c r="L51" i="7"/>
  <c r="N51" i="7"/>
  <c r="L52" i="7"/>
  <c r="N52" i="7"/>
  <c r="L53" i="7"/>
  <c r="N53" i="7"/>
  <c r="L54" i="7"/>
  <c r="N54" i="7"/>
  <c r="L55" i="7"/>
  <c r="N55" i="7"/>
  <c r="L56" i="7"/>
  <c r="N56" i="7"/>
  <c r="L57" i="7"/>
  <c r="N57" i="7"/>
  <c r="L58" i="7"/>
  <c r="N58" i="7"/>
  <c r="L59" i="7"/>
  <c r="N59" i="7"/>
  <c r="L60" i="7"/>
  <c r="N60" i="7"/>
  <c r="L61" i="7"/>
  <c r="N61" i="7"/>
  <c r="L62" i="7"/>
  <c r="N62" i="7"/>
  <c r="L63" i="7"/>
  <c r="N63" i="7"/>
  <c r="L64" i="7"/>
  <c r="N64" i="7"/>
  <c r="L65" i="7"/>
  <c r="N65" i="7"/>
  <c r="L66" i="7"/>
  <c r="N66" i="7"/>
  <c r="L67" i="7"/>
  <c r="N67" i="7"/>
  <c r="L68" i="7"/>
  <c r="N68" i="7"/>
  <c r="L69" i="7"/>
  <c r="N69" i="7"/>
  <c r="L70" i="7"/>
  <c r="N70" i="7"/>
  <c r="L71" i="7"/>
  <c r="N71" i="7"/>
  <c r="L72" i="7"/>
  <c r="N72" i="7"/>
  <c r="D89" i="7"/>
  <c r="D91" i="7"/>
  <c r="J93" i="7"/>
  <c r="L93" i="7"/>
  <c r="D96" i="7"/>
  <c r="J99" i="7"/>
  <c r="M99" i="7"/>
  <c r="O99" i="7"/>
  <c r="J100" i="7"/>
  <c r="M100" i="7"/>
  <c r="O100" i="7"/>
  <c r="P100" i="7" s="1"/>
  <c r="J101" i="7"/>
  <c r="O101" i="7"/>
  <c r="P101" i="7" s="1"/>
  <c r="J102" i="7"/>
  <c r="O102" i="7"/>
  <c r="P102" i="7" s="1"/>
  <c r="J103" i="7"/>
  <c r="O103" i="7"/>
  <c r="P103" i="7" s="1"/>
  <c r="M104" i="7"/>
  <c r="O112" i="7"/>
  <c r="O113" i="7"/>
  <c r="M114" i="7"/>
  <c r="O114" i="7"/>
  <c r="M115" i="7"/>
  <c r="O115" i="7"/>
  <c r="M116" i="7"/>
  <c r="O116" i="7"/>
  <c r="M117" i="7"/>
  <c r="O117" i="7"/>
  <c r="M118" i="7"/>
  <c r="O118" i="7"/>
  <c r="M119" i="7"/>
  <c r="O119" i="7"/>
  <c r="M120" i="7"/>
  <c r="O120" i="7"/>
  <c r="M121" i="7"/>
  <c r="O121" i="7"/>
  <c r="M122" i="7"/>
  <c r="O122" i="7"/>
  <c r="M123" i="7"/>
  <c r="O123" i="7"/>
  <c r="M124" i="7"/>
  <c r="O124" i="7"/>
  <c r="M125" i="7"/>
  <c r="O125" i="7"/>
  <c r="M126" i="7"/>
  <c r="O126" i="7"/>
  <c r="M127" i="7"/>
  <c r="O127" i="7"/>
  <c r="M128" i="7"/>
  <c r="O128" i="7"/>
  <c r="M129" i="7"/>
  <c r="O129" i="7"/>
  <c r="M130" i="7"/>
  <c r="O130" i="7"/>
  <c r="M131" i="7"/>
  <c r="O131" i="7"/>
  <c r="M132" i="7"/>
  <c r="O132" i="7"/>
  <c r="M133" i="7"/>
  <c r="O133" i="7"/>
  <c r="M134" i="7"/>
  <c r="O134" i="7"/>
  <c r="M135" i="7"/>
  <c r="O135" i="7"/>
  <c r="M136" i="7"/>
  <c r="O136" i="7"/>
  <c r="M137" i="7"/>
  <c r="O137" i="7"/>
  <c r="M138" i="7"/>
  <c r="O138" i="7"/>
  <c r="M139" i="7"/>
  <c r="O139" i="7"/>
  <c r="M140" i="7"/>
  <c r="O140" i="7"/>
  <c r="M141" i="7"/>
  <c r="O141" i="7"/>
  <c r="M142" i="7"/>
  <c r="O142" i="7"/>
  <c r="M143" i="7"/>
  <c r="O143" i="7"/>
  <c r="M144" i="7"/>
  <c r="O144" i="7"/>
  <c r="M145" i="7"/>
  <c r="O145" i="7"/>
  <c r="M146" i="7"/>
  <c r="O146" i="7"/>
  <c r="M147" i="7"/>
  <c r="O147" i="7"/>
  <c r="M148" i="7"/>
  <c r="O148" i="7"/>
  <c r="M149" i="7"/>
  <c r="O149" i="7"/>
  <c r="M150" i="7"/>
  <c r="O150" i="7"/>
  <c r="M151" i="7"/>
  <c r="O151" i="7"/>
  <c r="M152" i="7"/>
  <c r="O152" i="7"/>
  <c r="M153" i="7"/>
  <c r="O153" i="7"/>
  <c r="M154" i="7"/>
  <c r="O154" i="7"/>
  <c r="K11" i="6"/>
  <c r="I17" i="6"/>
  <c r="L17" i="6"/>
  <c r="N17" i="6"/>
  <c r="O17" i="6" s="1"/>
  <c r="I18" i="6"/>
  <c r="L18" i="6"/>
  <c r="N18" i="6"/>
  <c r="O18" i="6" s="1"/>
  <c r="N19" i="6"/>
  <c r="O19" i="6" s="1"/>
  <c r="L20" i="6"/>
  <c r="N20" i="6"/>
  <c r="O20" i="6" s="1"/>
  <c r="L21" i="6"/>
  <c r="N29" i="6"/>
  <c r="N30" i="6"/>
  <c r="L31" i="6"/>
  <c r="N31" i="6"/>
  <c r="L32" i="6"/>
  <c r="N32" i="6"/>
  <c r="L33" i="6"/>
  <c r="N33" i="6"/>
  <c r="L34" i="6"/>
  <c r="N34" i="6"/>
  <c r="L35" i="6"/>
  <c r="N35" i="6"/>
  <c r="L36" i="6"/>
  <c r="N36" i="6"/>
  <c r="L37" i="6"/>
  <c r="N37" i="6"/>
  <c r="L38" i="6"/>
  <c r="N38" i="6"/>
  <c r="L39" i="6"/>
  <c r="N39" i="6"/>
  <c r="L40" i="6"/>
  <c r="N40" i="6"/>
  <c r="L41" i="6"/>
  <c r="N41" i="6"/>
  <c r="L42" i="6"/>
  <c r="N42" i="6"/>
  <c r="L43" i="6"/>
  <c r="N43" i="6"/>
  <c r="L44" i="6"/>
  <c r="N44" i="6"/>
  <c r="C61" i="6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L45" i="6"/>
  <c r="N45" i="6"/>
  <c r="L46" i="6"/>
  <c r="N46" i="6"/>
  <c r="L47" i="6"/>
  <c r="N47" i="6"/>
  <c r="L48" i="6"/>
  <c r="N48" i="6"/>
  <c r="L49" i="6"/>
  <c r="N49" i="6"/>
  <c r="L50" i="6"/>
  <c r="N50" i="6"/>
  <c r="L51" i="6"/>
  <c r="N51" i="6"/>
  <c r="L52" i="6"/>
  <c r="N52" i="6"/>
  <c r="L53" i="6"/>
  <c r="N53" i="6"/>
  <c r="L54" i="6"/>
  <c r="N54" i="6"/>
  <c r="L55" i="6"/>
  <c r="N55" i="6"/>
  <c r="L56" i="6"/>
  <c r="N56" i="6"/>
  <c r="L57" i="6"/>
  <c r="N57" i="6"/>
  <c r="L58" i="6"/>
  <c r="N58" i="6"/>
  <c r="L59" i="6"/>
  <c r="N59" i="6"/>
  <c r="L60" i="6"/>
  <c r="N60" i="6"/>
  <c r="L61" i="6"/>
  <c r="N61" i="6"/>
  <c r="L62" i="6"/>
  <c r="N62" i="6"/>
  <c r="L63" i="6"/>
  <c r="N63" i="6"/>
  <c r="L64" i="6"/>
  <c r="N64" i="6"/>
  <c r="L65" i="6"/>
  <c r="N65" i="6"/>
  <c r="L66" i="6"/>
  <c r="N66" i="6"/>
  <c r="L67" i="6"/>
  <c r="N67" i="6"/>
  <c r="L68" i="6"/>
  <c r="N68" i="6"/>
  <c r="L69" i="6"/>
  <c r="N69" i="6"/>
  <c r="L70" i="6"/>
  <c r="N70" i="6"/>
  <c r="L71" i="6"/>
  <c r="N71" i="6"/>
  <c r="L72" i="6"/>
  <c r="N72" i="6"/>
  <c r="D89" i="6"/>
  <c r="D91" i="6"/>
  <c r="J93" i="6"/>
  <c r="L93" i="6"/>
  <c r="D96" i="6"/>
  <c r="J99" i="6"/>
  <c r="M99" i="6"/>
  <c r="J100" i="6"/>
  <c r="M100" i="6"/>
  <c r="J101" i="6"/>
  <c r="M101" i="6"/>
  <c r="O101" i="6"/>
  <c r="P101" i="6" s="1"/>
  <c r="M102" i="6"/>
  <c r="O102" i="6"/>
  <c r="P102" i="6"/>
  <c r="O110" i="6"/>
  <c r="O111" i="6"/>
  <c r="M112" i="6"/>
  <c r="O112" i="6"/>
  <c r="M113" i="6"/>
  <c r="O113" i="6"/>
  <c r="M114" i="6"/>
  <c r="O114" i="6"/>
  <c r="M115" i="6"/>
  <c r="O115" i="6"/>
  <c r="M116" i="6"/>
  <c r="O116" i="6"/>
  <c r="M117" i="6"/>
  <c r="O117" i="6"/>
  <c r="M118" i="6"/>
  <c r="O118" i="6"/>
  <c r="M119" i="6"/>
  <c r="O119" i="6"/>
  <c r="M120" i="6"/>
  <c r="O120" i="6"/>
  <c r="M121" i="6"/>
  <c r="O121" i="6"/>
  <c r="M122" i="6"/>
  <c r="O122" i="6"/>
  <c r="M123" i="6"/>
  <c r="O123" i="6"/>
  <c r="M124" i="6"/>
  <c r="O124" i="6"/>
  <c r="M125" i="6"/>
  <c r="O125" i="6"/>
  <c r="M126" i="6"/>
  <c r="O126" i="6"/>
  <c r="M127" i="6"/>
  <c r="O127" i="6"/>
  <c r="M128" i="6"/>
  <c r="O128" i="6"/>
  <c r="M129" i="6"/>
  <c r="O129" i="6"/>
  <c r="M130" i="6"/>
  <c r="O130" i="6"/>
  <c r="M131" i="6"/>
  <c r="O131" i="6"/>
  <c r="M132" i="6"/>
  <c r="O132" i="6"/>
  <c r="M133" i="6"/>
  <c r="O133" i="6"/>
  <c r="M134" i="6"/>
  <c r="O134" i="6"/>
  <c r="M135" i="6"/>
  <c r="O135" i="6"/>
  <c r="M136" i="6"/>
  <c r="O136" i="6"/>
  <c r="M137" i="6"/>
  <c r="O137" i="6"/>
  <c r="M138" i="6"/>
  <c r="O138" i="6"/>
  <c r="M139" i="6"/>
  <c r="O139" i="6"/>
  <c r="M140" i="6"/>
  <c r="O140" i="6"/>
  <c r="M141" i="6"/>
  <c r="O141" i="6"/>
  <c r="M142" i="6"/>
  <c r="O142" i="6"/>
  <c r="M143" i="6"/>
  <c r="O143" i="6"/>
  <c r="M144" i="6"/>
  <c r="O144" i="6"/>
  <c r="M145" i="6"/>
  <c r="O145" i="6"/>
  <c r="M146" i="6"/>
  <c r="O146" i="6"/>
  <c r="M147" i="6"/>
  <c r="O147" i="6"/>
  <c r="M148" i="6"/>
  <c r="O148" i="6"/>
  <c r="M149" i="6"/>
  <c r="O149" i="6"/>
  <c r="M150" i="6"/>
  <c r="O150" i="6"/>
  <c r="M151" i="6"/>
  <c r="O151" i="6"/>
  <c r="M152" i="6"/>
  <c r="O152" i="6"/>
  <c r="M153" i="6"/>
  <c r="O153" i="6"/>
  <c r="M154" i="6"/>
  <c r="O154" i="6"/>
  <c r="K11" i="5"/>
  <c r="I17" i="5"/>
  <c r="L17" i="5"/>
  <c r="N17" i="5"/>
  <c r="O17" i="5" s="1"/>
  <c r="I18" i="5"/>
  <c r="L18" i="5"/>
  <c r="N18" i="5"/>
  <c r="O18" i="5" s="1"/>
  <c r="I19" i="5"/>
  <c r="L19" i="5"/>
  <c r="N19" i="5"/>
  <c r="O19" i="5" s="1"/>
  <c r="L20" i="5"/>
  <c r="N28" i="5"/>
  <c r="O28" i="5" s="1"/>
  <c r="N29" i="5"/>
  <c r="L30" i="5"/>
  <c r="N30" i="5"/>
  <c r="L31" i="5"/>
  <c r="N31" i="5"/>
  <c r="L32" i="5"/>
  <c r="N32" i="5"/>
  <c r="L33" i="5"/>
  <c r="N33" i="5"/>
  <c r="L34" i="5"/>
  <c r="N34" i="5"/>
  <c r="L35" i="5"/>
  <c r="N35" i="5"/>
  <c r="L36" i="5"/>
  <c r="N36" i="5"/>
  <c r="L37" i="5"/>
  <c r="N37" i="5"/>
  <c r="L38" i="5"/>
  <c r="N38" i="5"/>
  <c r="L39" i="5"/>
  <c r="N39" i="5"/>
  <c r="L40" i="5"/>
  <c r="N40" i="5"/>
  <c r="L41" i="5"/>
  <c r="N41" i="5"/>
  <c r="L42" i="5"/>
  <c r="N42" i="5"/>
  <c r="L43" i="5"/>
  <c r="N43" i="5"/>
  <c r="L44" i="5"/>
  <c r="N44" i="5"/>
  <c r="L45" i="5"/>
  <c r="N45" i="5"/>
  <c r="L46" i="5"/>
  <c r="N46" i="5"/>
  <c r="L47" i="5"/>
  <c r="N47" i="5"/>
  <c r="L48" i="5"/>
  <c r="N48" i="5"/>
  <c r="I49" i="5"/>
  <c r="L49" i="5"/>
  <c r="N49" i="5"/>
  <c r="O49" i="5"/>
  <c r="I50" i="5"/>
  <c r="L50" i="5"/>
  <c r="N50" i="5"/>
  <c r="O50" i="5"/>
  <c r="I51" i="5"/>
  <c r="L51" i="5"/>
  <c r="N51" i="5"/>
  <c r="O51" i="5"/>
  <c r="I52" i="5"/>
  <c r="L52" i="5"/>
  <c r="N52" i="5"/>
  <c r="O52" i="5"/>
  <c r="I53" i="5"/>
  <c r="L53" i="5"/>
  <c r="N53" i="5"/>
  <c r="O53" i="5"/>
  <c r="I54" i="5"/>
  <c r="L54" i="5"/>
  <c r="N54" i="5"/>
  <c r="O54" i="5"/>
  <c r="I55" i="5"/>
  <c r="L55" i="5"/>
  <c r="N55" i="5"/>
  <c r="O55" i="5"/>
  <c r="I56" i="5"/>
  <c r="L56" i="5"/>
  <c r="N56" i="5"/>
  <c r="O56" i="5"/>
  <c r="I57" i="5"/>
  <c r="L57" i="5"/>
  <c r="N57" i="5"/>
  <c r="O57" i="5"/>
  <c r="I58" i="5"/>
  <c r="L58" i="5"/>
  <c r="N58" i="5"/>
  <c r="O58" i="5"/>
  <c r="I59" i="5"/>
  <c r="L59" i="5"/>
  <c r="N59" i="5"/>
  <c r="O59" i="5"/>
  <c r="I60" i="5"/>
  <c r="L60" i="5"/>
  <c r="N60" i="5"/>
  <c r="O60" i="5"/>
  <c r="I61" i="5"/>
  <c r="L61" i="5"/>
  <c r="N61" i="5"/>
  <c r="O61" i="5"/>
  <c r="I62" i="5"/>
  <c r="L62" i="5"/>
  <c r="N62" i="5"/>
  <c r="O62" i="5"/>
  <c r="I63" i="5"/>
  <c r="L63" i="5"/>
  <c r="N63" i="5"/>
  <c r="O63" i="5"/>
  <c r="I64" i="5"/>
  <c r="L64" i="5"/>
  <c r="N64" i="5"/>
  <c r="O64" i="5"/>
  <c r="I65" i="5"/>
  <c r="L65" i="5"/>
  <c r="N65" i="5"/>
  <c r="O65" i="5"/>
  <c r="I66" i="5"/>
  <c r="L66" i="5"/>
  <c r="N66" i="5"/>
  <c r="O66" i="5"/>
  <c r="I67" i="5"/>
  <c r="L67" i="5"/>
  <c r="N67" i="5"/>
  <c r="O67" i="5"/>
  <c r="I68" i="5"/>
  <c r="L68" i="5"/>
  <c r="N68" i="5"/>
  <c r="O68" i="5"/>
  <c r="I69" i="5"/>
  <c r="L69" i="5"/>
  <c r="N69" i="5"/>
  <c r="O69" i="5"/>
  <c r="I70" i="5"/>
  <c r="L70" i="5"/>
  <c r="N70" i="5"/>
  <c r="O70" i="5"/>
  <c r="I71" i="5"/>
  <c r="L71" i="5"/>
  <c r="N71" i="5"/>
  <c r="O71" i="5"/>
  <c r="I72" i="5"/>
  <c r="L72" i="5"/>
  <c r="N72" i="5"/>
  <c r="O72" i="5"/>
  <c r="D89" i="5"/>
  <c r="D91" i="5"/>
  <c r="J93" i="5"/>
  <c r="L93" i="5"/>
  <c r="D96" i="5"/>
  <c r="J99" i="5"/>
  <c r="O99" i="5"/>
  <c r="J100" i="5"/>
  <c r="M100" i="5"/>
  <c r="O100" i="5"/>
  <c r="M101" i="5"/>
  <c r="O101" i="5"/>
  <c r="P101" i="5"/>
  <c r="O109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K11" i="4"/>
  <c r="I17" i="4"/>
  <c r="L17" i="4"/>
  <c r="N17" i="4"/>
  <c r="I18" i="4"/>
  <c r="L18" i="4"/>
  <c r="O18" i="4"/>
  <c r="I19" i="4"/>
  <c r="L19" i="4"/>
  <c r="N19" i="4"/>
  <c r="O19" i="4"/>
  <c r="L20" i="4"/>
  <c r="N28" i="4"/>
  <c r="N29" i="4"/>
  <c r="L30" i="4"/>
  <c r="N30" i="4"/>
  <c r="L31" i="4"/>
  <c r="N31" i="4"/>
  <c r="L32" i="4"/>
  <c r="N32" i="4"/>
  <c r="L33" i="4"/>
  <c r="N33" i="4"/>
  <c r="L34" i="4"/>
  <c r="N34" i="4"/>
  <c r="L35" i="4"/>
  <c r="N35" i="4"/>
  <c r="L36" i="4"/>
  <c r="N36" i="4"/>
  <c r="L37" i="4"/>
  <c r="N37" i="4"/>
  <c r="L38" i="4"/>
  <c r="N38" i="4"/>
  <c r="L39" i="4"/>
  <c r="N39" i="4"/>
  <c r="L40" i="4"/>
  <c r="N40" i="4"/>
  <c r="L41" i="4"/>
  <c r="N41" i="4"/>
  <c r="L42" i="4"/>
  <c r="N42" i="4"/>
  <c r="L43" i="4"/>
  <c r="N43" i="4"/>
  <c r="L44" i="4"/>
  <c r="N44" i="4"/>
  <c r="L45" i="4"/>
  <c r="N45" i="4"/>
  <c r="L46" i="4"/>
  <c r="N46" i="4"/>
  <c r="L47" i="4"/>
  <c r="N47" i="4"/>
  <c r="L48" i="4"/>
  <c r="N48" i="4"/>
  <c r="L49" i="4"/>
  <c r="N49" i="4"/>
  <c r="L50" i="4"/>
  <c r="N50" i="4"/>
  <c r="L51" i="4"/>
  <c r="N51" i="4"/>
  <c r="L52" i="4"/>
  <c r="N52" i="4"/>
  <c r="L53" i="4"/>
  <c r="N53" i="4"/>
  <c r="L54" i="4"/>
  <c r="N54" i="4"/>
  <c r="L55" i="4"/>
  <c r="N55" i="4"/>
  <c r="L56" i="4"/>
  <c r="N56" i="4"/>
  <c r="L57" i="4"/>
  <c r="N57" i="4"/>
  <c r="L58" i="4"/>
  <c r="N58" i="4"/>
  <c r="L59" i="4"/>
  <c r="N59" i="4"/>
  <c r="L60" i="4"/>
  <c r="N60" i="4"/>
  <c r="L61" i="4"/>
  <c r="N61" i="4"/>
  <c r="L62" i="4"/>
  <c r="N62" i="4"/>
  <c r="L63" i="4"/>
  <c r="N63" i="4"/>
  <c r="L64" i="4"/>
  <c r="N64" i="4"/>
  <c r="L65" i="4"/>
  <c r="N65" i="4"/>
  <c r="L66" i="4"/>
  <c r="N66" i="4"/>
  <c r="L67" i="4"/>
  <c r="N67" i="4"/>
  <c r="L68" i="4"/>
  <c r="N68" i="4"/>
  <c r="L69" i="4"/>
  <c r="N69" i="4"/>
  <c r="L70" i="4"/>
  <c r="N70" i="4"/>
  <c r="L71" i="4"/>
  <c r="N71" i="4"/>
  <c r="L72" i="4"/>
  <c r="N72" i="4"/>
  <c r="D89" i="4"/>
  <c r="D91" i="4"/>
  <c r="J93" i="4"/>
  <c r="L93" i="4"/>
  <c r="D96" i="4"/>
  <c r="J99" i="4"/>
  <c r="M99" i="4"/>
  <c r="O99" i="4"/>
  <c r="J100" i="4"/>
  <c r="M100" i="4"/>
  <c r="O100" i="4"/>
  <c r="P100" i="4" s="1"/>
  <c r="M101" i="4"/>
  <c r="O101" i="4"/>
  <c r="P101" i="4"/>
  <c r="O105" i="4"/>
  <c r="P105" i="4"/>
  <c r="O109" i="4"/>
  <c r="O110" i="4"/>
  <c r="M111" i="4"/>
  <c r="O111" i="4"/>
  <c r="M112" i="4"/>
  <c r="O112" i="4"/>
  <c r="M113" i="4"/>
  <c r="O113" i="4"/>
  <c r="M114" i="4"/>
  <c r="O114" i="4"/>
  <c r="M115" i="4"/>
  <c r="O115" i="4"/>
  <c r="M116" i="4"/>
  <c r="O116" i="4"/>
  <c r="M117" i="4"/>
  <c r="O117" i="4"/>
  <c r="M118" i="4"/>
  <c r="O118" i="4"/>
  <c r="M119" i="4"/>
  <c r="O119" i="4"/>
  <c r="M120" i="4"/>
  <c r="O120" i="4"/>
  <c r="M121" i="4"/>
  <c r="O121" i="4"/>
  <c r="M122" i="4"/>
  <c r="O122" i="4"/>
  <c r="M123" i="4"/>
  <c r="O123" i="4"/>
  <c r="M124" i="4"/>
  <c r="O124" i="4"/>
  <c r="M125" i="4"/>
  <c r="O125" i="4"/>
  <c r="M126" i="4"/>
  <c r="O126" i="4"/>
  <c r="M127" i="4"/>
  <c r="O127" i="4"/>
  <c r="M128" i="4"/>
  <c r="O128" i="4"/>
  <c r="M129" i="4"/>
  <c r="O129" i="4"/>
  <c r="M130" i="4"/>
  <c r="O130" i="4"/>
  <c r="M131" i="4"/>
  <c r="O131" i="4"/>
  <c r="M132" i="4"/>
  <c r="O132" i="4"/>
  <c r="M133" i="4"/>
  <c r="O133" i="4"/>
  <c r="M134" i="4"/>
  <c r="O134" i="4"/>
  <c r="M135" i="4"/>
  <c r="O135" i="4"/>
  <c r="M136" i="4"/>
  <c r="O136" i="4"/>
  <c r="M137" i="4"/>
  <c r="O137" i="4"/>
  <c r="M138" i="4"/>
  <c r="O138" i="4"/>
  <c r="M139" i="4"/>
  <c r="O139" i="4"/>
  <c r="M140" i="4"/>
  <c r="O140" i="4"/>
  <c r="M141" i="4"/>
  <c r="O141" i="4"/>
  <c r="M142" i="4"/>
  <c r="O142" i="4"/>
  <c r="M143" i="4"/>
  <c r="O143" i="4"/>
  <c r="M144" i="4"/>
  <c r="O144" i="4"/>
  <c r="M145" i="4"/>
  <c r="O145" i="4"/>
  <c r="M146" i="4"/>
  <c r="O146" i="4"/>
  <c r="M147" i="4"/>
  <c r="O147" i="4"/>
  <c r="M148" i="4"/>
  <c r="O148" i="4"/>
  <c r="M149" i="4"/>
  <c r="O149" i="4"/>
  <c r="M150" i="4"/>
  <c r="O150" i="4"/>
  <c r="M151" i="4"/>
  <c r="O151" i="4"/>
  <c r="M152" i="4"/>
  <c r="O152" i="4"/>
  <c r="M153" i="4"/>
  <c r="O153" i="4"/>
  <c r="M154" i="4"/>
  <c r="O154" i="4"/>
  <c r="K11" i="3"/>
  <c r="I17" i="3"/>
  <c r="L17" i="3"/>
  <c r="N17" i="3"/>
  <c r="O17" i="3" s="1"/>
  <c r="L18" i="3"/>
  <c r="N19" i="3"/>
  <c r="L20" i="3"/>
  <c r="N28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49" i="3"/>
  <c r="N49" i="3"/>
  <c r="L50" i="3"/>
  <c r="N50" i="3"/>
  <c r="L51" i="3"/>
  <c r="N51" i="3"/>
  <c r="L52" i="3"/>
  <c r="N52" i="3"/>
  <c r="L53" i="3"/>
  <c r="N53" i="3"/>
  <c r="L54" i="3"/>
  <c r="N54" i="3"/>
  <c r="L55" i="3"/>
  <c r="N55" i="3"/>
  <c r="L56" i="3"/>
  <c r="N56" i="3"/>
  <c r="L57" i="3"/>
  <c r="N57" i="3"/>
  <c r="L58" i="3"/>
  <c r="N58" i="3"/>
  <c r="L59" i="3"/>
  <c r="N59" i="3"/>
  <c r="L60" i="3"/>
  <c r="N60" i="3"/>
  <c r="L61" i="3"/>
  <c r="N61" i="3"/>
  <c r="L62" i="3"/>
  <c r="N62" i="3"/>
  <c r="L63" i="3"/>
  <c r="N63" i="3"/>
  <c r="L64" i="3"/>
  <c r="N64" i="3"/>
  <c r="L65" i="3"/>
  <c r="N65" i="3"/>
  <c r="L66" i="3"/>
  <c r="N66" i="3"/>
  <c r="L67" i="3"/>
  <c r="N67" i="3"/>
  <c r="L68" i="3"/>
  <c r="N68" i="3"/>
  <c r="L69" i="3"/>
  <c r="N69" i="3"/>
  <c r="L70" i="3"/>
  <c r="N70" i="3"/>
  <c r="L71" i="3"/>
  <c r="N71" i="3"/>
  <c r="L72" i="3"/>
  <c r="N72" i="3"/>
  <c r="D89" i="3"/>
  <c r="D91" i="3"/>
  <c r="J93" i="3"/>
  <c r="L93" i="3"/>
  <c r="D96" i="3"/>
  <c r="J99" i="3"/>
  <c r="M99" i="3"/>
  <c r="P99" i="3" s="1"/>
  <c r="O99" i="3"/>
  <c r="J100" i="3"/>
  <c r="M100" i="3"/>
  <c r="O100" i="3"/>
  <c r="P100" i="3" s="1"/>
  <c r="M101" i="3"/>
  <c r="O101" i="3"/>
  <c r="P101" i="3"/>
  <c r="O109" i="3"/>
  <c r="O110" i="3"/>
  <c r="M111" i="3"/>
  <c r="O111" i="3"/>
  <c r="M112" i="3"/>
  <c r="O112" i="3"/>
  <c r="M113" i="3"/>
  <c r="O113" i="3"/>
  <c r="M114" i="3"/>
  <c r="O114" i="3"/>
  <c r="M115" i="3"/>
  <c r="O115" i="3"/>
  <c r="M116" i="3"/>
  <c r="O116" i="3"/>
  <c r="M117" i="3"/>
  <c r="O117" i="3"/>
  <c r="M118" i="3"/>
  <c r="O118" i="3"/>
  <c r="M119" i="3"/>
  <c r="O119" i="3"/>
  <c r="M120" i="3"/>
  <c r="O120" i="3"/>
  <c r="M121" i="3"/>
  <c r="O121" i="3"/>
  <c r="M122" i="3"/>
  <c r="O122" i="3"/>
  <c r="M123" i="3"/>
  <c r="O123" i="3"/>
  <c r="M124" i="3"/>
  <c r="O124" i="3"/>
  <c r="M125" i="3"/>
  <c r="O125" i="3"/>
  <c r="M126" i="3"/>
  <c r="O126" i="3"/>
  <c r="M127" i="3"/>
  <c r="O127" i="3"/>
  <c r="M128" i="3"/>
  <c r="O128" i="3"/>
  <c r="M129" i="3"/>
  <c r="O129" i="3"/>
  <c r="M130" i="3"/>
  <c r="O130" i="3"/>
  <c r="M131" i="3"/>
  <c r="O131" i="3"/>
  <c r="M132" i="3"/>
  <c r="O132" i="3"/>
  <c r="M133" i="3"/>
  <c r="O133" i="3"/>
  <c r="M134" i="3"/>
  <c r="O134" i="3"/>
  <c r="M135" i="3"/>
  <c r="O135" i="3"/>
  <c r="M136" i="3"/>
  <c r="O136" i="3"/>
  <c r="M137" i="3"/>
  <c r="O137" i="3"/>
  <c r="M138" i="3"/>
  <c r="O138" i="3"/>
  <c r="M139" i="3"/>
  <c r="O139" i="3"/>
  <c r="M140" i="3"/>
  <c r="O140" i="3"/>
  <c r="M141" i="3"/>
  <c r="O141" i="3"/>
  <c r="M142" i="3"/>
  <c r="O142" i="3"/>
  <c r="M143" i="3"/>
  <c r="O143" i="3"/>
  <c r="M144" i="3"/>
  <c r="O144" i="3"/>
  <c r="M145" i="3"/>
  <c r="O145" i="3"/>
  <c r="M146" i="3"/>
  <c r="O146" i="3"/>
  <c r="M147" i="3"/>
  <c r="O147" i="3"/>
  <c r="M148" i="3"/>
  <c r="O148" i="3"/>
  <c r="M149" i="3"/>
  <c r="O149" i="3"/>
  <c r="M150" i="3"/>
  <c r="O150" i="3"/>
  <c r="M151" i="3"/>
  <c r="O151" i="3"/>
  <c r="M152" i="3"/>
  <c r="O152" i="3"/>
  <c r="M153" i="3"/>
  <c r="O153" i="3"/>
  <c r="M154" i="3"/>
  <c r="O154" i="3"/>
  <c r="F12" i="2"/>
  <c r="D17" i="2"/>
  <c r="E17" i="2"/>
  <c r="D18" i="2"/>
  <c r="E18" i="2"/>
  <c r="D19" i="2"/>
  <c r="C24" i="2"/>
  <c r="E24" i="2"/>
  <c r="C31" i="2"/>
  <c r="E31" i="2"/>
  <c r="E34" i="2"/>
  <c r="C40" i="2"/>
  <c r="C44" i="2"/>
  <c r="F44" i="2"/>
  <c r="C45" i="2"/>
  <c r="F45" i="2"/>
  <c r="C46" i="2"/>
  <c r="F46" i="2"/>
  <c r="C47" i="2"/>
  <c r="F47" i="2"/>
  <c r="C52" i="2"/>
  <c r="F64" i="2"/>
  <c r="C58" i="2"/>
  <c r="F58" i="2"/>
  <c r="C64" i="2"/>
  <c r="C75" i="2"/>
  <c r="F75" i="2"/>
  <c r="C81" i="2"/>
  <c r="C90" i="2"/>
  <c r="D17" i="1"/>
  <c r="E18" i="1"/>
  <c r="E24" i="1"/>
  <c r="E31" i="1"/>
  <c r="E34" i="1"/>
  <c r="C40" i="1"/>
  <c r="C44" i="1"/>
  <c r="F44" i="1"/>
  <c r="F45" i="1"/>
  <c r="F46" i="1"/>
  <c r="F47" i="1"/>
  <c r="C52" i="1"/>
  <c r="F64" i="1"/>
  <c r="F58" i="1"/>
  <c r="F75" i="1"/>
  <c r="C89" i="1"/>
  <c r="C90" i="1"/>
  <c r="S132" i="1"/>
  <c r="S133" i="1"/>
  <c r="S134" i="1"/>
  <c r="I20" i="6"/>
  <c r="I19" i="6"/>
  <c r="B21" i="8"/>
  <c r="B21" i="6"/>
  <c r="B19" i="22"/>
  <c r="D8" i="3"/>
  <c r="D90" i="3"/>
  <c r="B23" i="7"/>
  <c r="B21" i="5"/>
  <c r="B21" i="4"/>
  <c r="I21" i="8"/>
  <c r="B20" i="3"/>
  <c r="I20" i="5"/>
  <c r="B23" i="11"/>
  <c r="I23" i="10"/>
  <c r="I19" i="22"/>
  <c r="I22" i="11"/>
  <c r="B22" i="8"/>
  <c r="I18" i="23"/>
  <c r="B20" i="22"/>
  <c r="I23" i="7"/>
  <c r="I17" i="25"/>
  <c r="B24" i="7"/>
  <c r="I20" i="4"/>
  <c r="B22" i="6"/>
  <c r="I20" i="3"/>
  <c r="I22" i="9"/>
  <c r="I17" i="24"/>
  <c r="B100" i="23"/>
  <c r="I21" i="6"/>
  <c r="B105" i="7"/>
  <c r="B101" i="22"/>
  <c r="B103" i="8"/>
  <c r="B103" i="6"/>
  <c r="B105" i="10"/>
  <c r="B102" i="4"/>
  <c r="J104" i="7"/>
  <c r="J99" i="23"/>
  <c r="J103" i="11"/>
  <c r="J103" i="9"/>
  <c r="J104" i="10"/>
  <c r="J101" i="3"/>
  <c r="J101" i="4"/>
  <c r="J102" i="6"/>
  <c r="J100" i="22"/>
  <c r="J102" i="8"/>
  <c r="J101" i="5"/>
  <c r="C51" i="27"/>
  <c r="C52" i="27" s="1"/>
  <c r="C53" i="27" s="1"/>
  <c r="C54" i="27" s="1"/>
  <c r="C55" i="27"/>
  <c r="C56" i="27" s="1"/>
  <c r="C57" i="27" s="1"/>
  <c r="C58" i="27" s="1"/>
  <c r="C59" i="27"/>
  <c r="C60" i="27" s="1"/>
  <c r="C61" i="27" s="1"/>
  <c r="C62" i="27" s="1"/>
  <c r="C63" i="27" s="1"/>
  <c r="C64" i="27" s="1"/>
  <c r="C65" i="27" s="1"/>
  <c r="C66" i="27" s="1"/>
  <c r="C67" i="27" s="1"/>
  <c r="C68" i="27" s="1"/>
  <c r="C69" i="27" s="1"/>
  <c r="C70" i="27" s="1"/>
  <c r="C71" i="27" s="1"/>
  <c r="C72" i="27" s="1"/>
  <c r="B18" i="25"/>
  <c r="P99" i="23"/>
  <c r="O18" i="23"/>
  <c r="P100" i="22"/>
  <c r="B104" i="11"/>
  <c r="P104" i="10"/>
  <c r="B24" i="10"/>
  <c r="B104" i="9"/>
  <c r="B23" i="9"/>
  <c r="B102" i="5"/>
  <c r="O20" i="5"/>
  <c r="O20" i="4"/>
  <c r="B102" i="3"/>
  <c r="B21" i="3"/>
  <c r="O19" i="25"/>
  <c r="O18" i="25"/>
  <c r="B19" i="25"/>
  <c r="B20" i="25"/>
  <c r="C48" i="25"/>
  <c r="C49" i="25" s="1"/>
  <c r="C50" i="25" s="1"/>
  <c r="C51" i="25" s="1"/>
  <c r="C52" i="25"/>
  <c r="C53" i="25" s="1"/>
  <c r="C54" i="25" s="1"/>
  <c r="C55" i="25" s="1"/>
  <c r="C56" i="25"/>
  <c r="C57" i="25" s="1"/>
  <c r="C58" i="25" s="1"/>
  <c r="C59" i="25" s="1"/>
  <c r="C60" i="25" s="1"/>
  <c r="C61" i="25" s="1"/>
  <c r="C62" i="25" s="1"/>
  <c r="C63" i="25" s="1"/>
  <c r="C64" i="25" s="1"/>
  <c r="C65" i="25" s="1"/>
  <c r="C66" i="25" s="1"/>
  <c r="C67" i="25" s="1"/>
  <c r="C68" i="25" s="1"/>
  <c r="C69" i="25" s="1"/>
  <c r="C70" i="25" s="1"/>
  <c r="C71" i="25" s="1"/>
  <c r="C72" i="25" s="1"/>
  <c r="I18" i="25"/>
  <c r="C99" i="27"/>
  <c r="C100" i="27"/>
  <c r="C101" i="27"/>
  <c r="C102" i="27" s="1"/>
  <c r="C103" i="27" s="1"/>
  <c r="C104" i="27" s="1"/>
  <c r="C105" i="27" s="1"/>
  <c r="C106" i="27" s="1"/>
  <c r="C107" i="27" s="1"/>
  <c r="C108" i="27" s="1"/>
  <c r="C109" i="27" s="1"/>
  <c r="C110" i="27" s="1"/>
  <c r="C111" i="27" s="1"/>
  <c r="C112" i="27" s="1"/>
  <c r="C113" i="27" s="1"/>
  <c r="C114" i="27" s="1"/>
  <c r="C115" i="27" s="1"/>
  <c r="C116" i="27" s="1"/>
  <c r="C117" i="27" s="1"/>
  <c r="C118" i="27" s="1"/>
  <c r="C119" i="27" s="1"/>
  <c r="C120" i="27" s="1"/>
  <c r="C121" i="27" s="1"/>
  <c r="C122" i="27" s="1"/>
  <c r="C123" i="27" s="1"/>
  <c r="C124" i="27" s="1"/>
  <c r="C125" i="27" s="1"/>
  <c r="C126" i="27" s="1"/>
  <c r="C127" i="27" s="1"/>
  <c r="C128" i="27" s="1"/>
  <c r="C129" i="27" s="1"/>
  <c r="C130" i="27" s="1"/>
  <c r="C131" i="27" s="1"/>
  <c r="C132" i="27" s="1"/>
  <c r="C133" i="27" s="1"/>
  <c r="C134" i="27" s="1"/>
  <c r="C135" i="27" s="1"/>
  <c r="C136" i="27" s="1"/>
  <c r="C137" i="27" s="1"/>
  <c r="C138" i="27" s="1"/>
  <c r="C139" i="27" s="1"/>
  <c r="C140" i="27" s="1"/>
  <c r="C141" i="27" s="1"/>
  <c r="C142" i="27" s="1"/>
  <c r="C143" i="27" s="1"/>
  <c r="C144" i="27" s="1"/>
  <c r="C145" i="27" s="1"/>
  <c r="C146" i="27" s="1"/>
  <c r="C147" i="27" s="1"/>
  <c r="C148" i="27" s="1"/>
  <c r="C149" i="27" s="1"/>
  <c r="C150" i="27" s="1"/>
  <c r="C151" i="27" s="1"/>
  <c r="C152" i="27" s="1"/>
  <c r="C153" i="27" s="1"/>
  <c r="C154" i="27" s="1"/>
  <c r="B24" i="11"/>
  <c r="B21" i="22"/>
  <c r="B102" i="25"/>
  <c r="B25" i="7"/>
  <c r="B23" i="6"/>
  <c r="B22" i="3"/>
  <c r="B22" i="4"/>
  <c r="B103" i="4"/>
  <c r="B105" i="9"/>
  <c r="B106" i="7"/>
  <c r="B102" i="22"/>
  <c r="B103" i="3"/>
  <c r="B101" i="23"/>
  <c r="B105" i="11"/>
  <c r="B104" i="8"/>
  <c r="B106" i="10"/>
  <c r="B103" i="5"/>
  <c r="B21" i="25"/>
  <c r="B18" i="27"/>
  <c r="I18" i="24"/>
  <c r="B19" i="24"/>
  <c r="K18" i="24"/>
  <c r="L18" i="24"/>
  <c r="B18" i="24"/>
  <c r="P102" i="5"/>
  <c r="C47" i="29"/>
  <c r="C48" i="29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C60" i="29" s="1"/>
  <c r="C61" i="29" s="1"/>
  <c r="C62" i="29" s="1"/>
  <c r="C63" i="29" s="1"/>
  <c r="C64" i="29" s="1"/>
  <c r="C65" i="29" s="1"/>
  <c r="C66" i="29" s="1"/>
  <c r="C67" i="29" s="1"/>
  <c r="C68" i="29" s="1"/>
  <c r="C69" i="29" s="1"/>
  <c r="C70" i="29" s="1"/>
  <c r="C71" i="29" s="1"/>
  <c r="C72" i="29" s="1"/>
  <c r="C100" i="28"/>
  <c r="C101" i="28" s="1"/>
  <c r="C102" i="28" s="1"/>
  <c r="C103" i="28"/>
  <c r="C104" i="28" s="1"/>
  <c r="C105" i="28" s="1"/>
  <c r="C106" i="28" s="1"/>
  <c r="C107" i="28" s="1"/>
  <c r="C108" i="28" s="1"/>
  <c r="C109" i="28" s="1"/>
  <c r="C110" i="28" s="1"/>
  <c r="C111" i="28" s="1"/>
  <c r="C112" i="28" s="1"/>
  <c r="C113" i="28" s="1"/>
  <c r="C114" i="28" s="1"/>
  <c r="C115" i="28" s="1"/>
  <c r="C116" i="28" s="1"/>
  <c r="C117" i="28" s="1"/>
  <c r="C118" i="28" s="1"/>
  <c r="C119" i="28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C141" i="28" s="1"/>
  <c r="C142" i="28" s="1"/>
  <c r="C143" i="28" s="1"/>
  <c r="C144" i="28" s="1"/>
  <c r="C145" i="28" s="1"/>
  <c r="C146" i="28" s="1"/>
  <c r="C147" i="28" s="1"/>
  <c r="C148" i="28" s="1"/>
  <c r="C149" i="28" s="1"/>
  <c r="C150" i="28" s="1"/>
  <c r="C151" i="28" s="1"/>
  <c r="C152" i="28" s="1"/>
  <c r="C153" i="28" s="1"/>
  <c r="C154" i="28" s="1"/>
  <c r="C99" i="24"/>
  <c r="P100" i="23"/>
  <c r="P101" i="22"/>
  <c r="O20" i="22"/>
  <c r="P104" i="11"/>
  <c r="P105" i="10"/>
  <c r="O24" i="10"/>
  <c r="B25" i="10"/>
  <c r="B24" i="9"/>
  <c r="P103" i="8"/>
  <c r="B23" i="8"/>
  <c r="P105" i="7"/>
  <c r="B104" i="6"/>
  <c r="O22" i="6"/>
  <c r="B22" i="5"/>
  <c r="O21" i="4"/>
  <c r="P102" i="3"/>
  <c r="M18" i="24"/>
  <c r="N18" i="24" s="1"/>
  <c r="B100" i="24"/>
  <c r="N99" i="24"/>
  <c r="O99" i="24" s="1"/>
  <c r="P99" i="24" s="1"/>
  <c r="L99" i="24"/>
  <c r="M99" i="24"/>
  <c r="J99" i="24"/>
  <c r="D8" i="23"/>
  <c r="D90" i="23"/>
  <c r="B20" i="23"/>
  <c r="B23" i="5"/>
  <c r="B18" i="29"/>
  <c r="B18" i="28"/>
  <c r="B106" i="9"/>
  <c r="B103" i="22"/>
  <c r="B104" i="3"/>
  <c r="B105" i="6"/>
  <c r="B106" i="11"/>
  <c r="B104" i="5"/>
  <c r="B21" i="23"/>
  <c r="B22" i="25"/>
  <c r="B20" i="24"/>
  <c r="B23" i="3"/>
  <c r="B101" i="24"/>
  <c r="B103" i="25"/>
  <c r="B105" i="8"/>
  <c r="B23" i="4"/>
  <c r="B25" i="11"/>
  <c r="B25" i="9"/>
  <c r="B102" i="23"/>
  <c r="B22" i="22"/>
  <c r="N24" i="11"/>
  <c r="O24" i="11"/>
  <c r="B107" i="10"/>
  <c r="B26" i="10"/>
  <c r="B24" i="8"/>
  <c r="B107" i="7"/>
  <c r="B26" i="7"/>
  <c r="B24" i="6"/>
  <c r="B104" i="4"/>
  <c r="N22" i="3"/>
  <c r="O22" i="3" s="1"/>
  <c r="C54" i="31"/>
  <c r="C55" i="31"/>
  <c r="C56" i="31"/>
  <c r="C57" i="31" s="1"/>
  <c r="C58" i="31" s="1"/>
  <c r="C59" i="31" s="1"/>
  <c r="C60" i="31" s="1"/>
  <c r="C61" i="31" s="1"/>
  <c r="C62" i="31" s="1"/>
  <c r="C63" i="31" s="1"/>
  <c r="C64" i="31" s="1"/>
  <c r="C65" i="31" s="1"/>
  <c r="C66" i="31" s="1"/>
  <c r="C67" i="31" s="1"/>
  <c r="C68" i="31" s="1"/>
  <c r="C69" i="31" s="1"/>
  <c r="C70" i="31" s="1"/>
  <c r="C71" i="31" s="1"/>
  <c r="C72" i="31" s="1"/>
  <c r="B18" i="31"/>
  <c r="B19" i="28"/>
  <c r="B25" i="6"/>
  <c r="B23" i="25"/>
  <c r="B22" i="23"/>
  <c r="B23" i="22"/>
  <c r="B102" i="24"/>
  <c r="B105" i="4"/>
  <c r="B104" i="25"/>
  <c r="B106" i="8"/>
  <c r="B105" i="5"/>
  <c r="B104" i="22"/>
  <c r="B26" i="11"/>
  <c r="B21" i="24"/>
  <c r="B25" i="8"/>
  <c r="B24" i="3"/>
  <c r="B27" i="10"/>
  <c r="B24" i="5"/>
  <c r="B107" i="11"/>
  <c r="B107" i="9"/>
  <c r="B108" i="7"/>
  <c r="B19" i="31"/>
  <c r="O18" i="31"/>
  <c r="P99" i="29"/>
  <c r="B100" i="29"/>
  <c r="B19" i="29"/>
  <c r="O18" i="28"/>
  <c r="O22" i="25"/>
  <c r="P101" i="24"/>
  <c r="O21" i="23"/>
  <c r="P102" i="23"/>
  <c r="P103" i="22"/>
  <c r="O22" i="22"/>
  <c r="P106" i="11"/>
  <c r="O25" i="11"/>
  <c r="B108" i="10"/>
  <c r="P107" i="10"/>
  <c r="O26" i="10"/>
  <c r="O25" i="9"/>
  <c r="B26" i="9"/>
  <c r="P105" i="8"/>
  <c r="P107" i="7"/>
  <c r="O26" i="7"/>
  <c r="B27" i="7"/>
  <c r="P105" i="6"/>
  <c r="B106" i="6"/>
  <c r="O24" i="6"/>
  <c r="P104" i="5"/>
  <c r="O23" i="5"/>
  <c r="P104" i="4"/>
  <c r="O23" i="4"/>
  <c r="B24" i="4"/>
  <c r="B105" i="3"/>
  <c r="K18" i="27"/>
  <c r="B103" i="23"/>
  <c r="B100" i="27"/>
  <c r="B19" i="27"/>
  <c r="L18" i="27"/>
  <c r="I18" i="27"/>
  <c r="M18" i="27"/>
  <c r="N18" i="27"/>
  <c r="O18" i="27"/>
  <c r="I19" i="27"/>
  <c r="B101" i="27"/>
  <c r="J100" i="27"/>
  <c r="B100" i="28"/>
  <c r="B18" i="30"/>
  <c r="P99" i="31"/>
  <c r="B100" i="31"/>
  <c r="B106" i="4"/>
  <c r="J105" i="4"/>
  <c r="B107" i="6"/>
  <c r="J106" i="6"/>
  <c r="B106" i="5"/>
  <c r="B102" i="27"/>
  <c r="B101" i="28"/>
  <c r="B104" i="23"/>
  <c r="B100" i="30"/>
  <c r="B106" i="3"/>
  <c r="B101" i="31"/>
  <c r="B105" i="25"/>
  <c r="B25" i="5"/>
  <c r="B24" i="22"/>
  <c r="B20" i="31"/>
  <c r="B20" i="27"/>
  <c r="B25" i="4"/>
  <c r="B20" i="29"/>
  <c r="B19" i="30"/>
  <c r="B27" i="9"/>
  <c r="B25" i="3"/>
  <c r="B23" i="23"/>
  <c r="J101" i="27"/>
  <c r="B105" i="22"/>
  <c r="J105" i="5"/>
  <c r="J108" i="10"/>
  <c r="B107" i="8"/>
  <c r="J100" i="28"/>
  <c r="B109" i="7"/>
  <c r="J105" i="3"/>
  <c r="I18" i="30"/>
  <c r="I27" i="7"/>
  <c r="I26" i="9"/>
  <c r="B27" i="11"/>
  <c r="B26" i="8"/>
  <c r="I23" i="22"/>
  <c r="B22" i="24"/>
  <c r="I24" i="5"/>
  <c r="I23" i="25"/>
  <c r="I19" i="28"/>
  <c r="B26" i="6"/>
  <c r="I22" i="23"/>
  <c r="I24" i="3"/>
  <c r="I26" i="11"/>
  <c r="I25" i="8"/>
  <c r="I19" i="29"/>
  <c r="I24" i="4"/>
  <c r="I27" i="10"/>
  <c r="I19" i="31"/>
  <c r="I21" i="24"/>
  <c r="I25" i="6"/>
  <c r="J102" i="24"/>
  <c r="J106" i="8"/>
  <c r="J104" i="22"/>
  <c r="J100" i="29"/>
  <c r="J104" i="25"/>
  <c r="J108" i="7"/>
  <c r="J107" i="9"/>
  <c r="J100" i="31"/>
  <c r="J99" i="30"/>
  <c r="J107" i="11"/>
  <c r="J103" i="23"/>
  <c r="I20" i="27"/>
  <c r="B101" i="29"/>
  <c r="B108" i="9"/>
  <c r="B24" i="25"/>
  <c r="B20" i="28"/>
  <c r="B103" i="24"/>
  <c r="B108" i="11"/>
  <c r="B109" i="10"/>
  <c r="B28" i="10"/>
  <c r="L24" i="8"/>
  <c r="O24" i="8"/>
  <c r="B28" i="7"/>
  <c r="P99" i="30"/>
  <c r="C99" i="13"/>
  <c r="C100" i="13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D18" i="1"/>
  <c r="C12" i="1"/>
  <c r="D19" i="1"/>
  <c r="B29" i="10"/>
  <c r="I24" i="25"/>
  <c r="B27" i="6"/>
  <c r="B20" i="30"/>
  <c r="B21" i="27"/>
  <c r="I17" i="39"/>
  <c r="B21" i="29"/>
  <c r="I27" i="9"/>
  <c r="B23" i="24"/>
  <c r="I22" i="24"/>
  <c r="B28" i="9"/>
  <c r="I23" i="23"/>
  <c r="B21" i="28"/>
  <c r="I20" i="28"/>
  <c r="I26" i="8"/>
  <c r="B24" i="23"/>
  <c r="I19" i="30"/>
  <c r="I26" i="6"/>
  <c r="I24" i="22"/>
  <c r="I28" i="10"/>
  <c r="I21" i="27"/>
  <c r="I20" i="29"/>
  <c r="B27" i="8"/>
  <c r="B102" i="29"/>
  <c r="B29" i="7"/>
  <c r="B26" i="4"/>
  <c r="I25" i="3"/>
  <c r="I27" i="11"/>
  <c r="B26" i="3"/>
  <c r="I25" i="4"/>
  <c r="I17" i="37"/>
  <c r="I28" i="7"/>
  <c r="B26" i="5"/>
  <c r="I25" i="5"/>
  <c r="J102" i="27"/>
  <c r="B107" i="3"/>
  <c r="B106" i="25"/>
  <c r="J105" i="25"/>
  <c r="J101" i="29"/>
  <c r="B106" i="22"/>
  <c r="B108" i="8"/>
  <c r="J106" i="3"/>
  <c r="J100" i="30"/>
  <c r="B107" i="4"/>
  <c r="J108" i="9"/>
  <c r="B110" i="10"/>
  <c r="B109" i="11"/>
  <c r="B104" i="24"/>
  <c r="B105" i="23"/>
  <c r="B102" i="28"/>
  <c r="J109" i="10"/>
  <c r="J104" i="23"/>
  <c r="J108" i="11"/>
  <c r="J106" i="4"/>
  <c r="J105" i="22"/>
  <c r="J107" i="8"/>
  <c r="J107" i="6"/>
  <c r="J101" i="28"/>
  <c r="J103" i="24"/>
  <c r="C18" i="13"/>
  <c r="C19" i="13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18" i="41"/>
  <c r="C19" i="41"/>
  <c r="C20" i="41" s="1"/>
  <c r="C21" i="41" s="1"/>
  <c r="C22" i="41" s="1"/>
  <c r="C23" i="41"/>
  <c r="C24" i="41" s="1"/>
  <c r="C25" i="41" s="1"/>
  <c r="C26" i="41" s="1"/>
  <c r="C27" i="4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B18" i="39"/>
  <c r="B18" i="37"/>
  <c r="P100" i="30"/>
  <c r="B103" i="27"/>
  <c r="B25" i="25"/>
  <c r="O24" i="25"/>
  <c r="B25" i="22"/>
  <c r="B28" i="11"/>
  <c r="B109" i="9"/>
  <c r="B107" i="5"/>
  <c r="A2" i="2"/>
  <c r="I10" i="7"/>
  <c r="I10" i="25"/>
  <c r="D93" i="25" s="1"/>
  <c r="C99" i="25" s="1"/>
  <c r="C100" i="25" s="1"/>
  <c r="C101" i="25" s="1"/>
  <c r="C102" i="25" s="1"/>
  <c r="C103" i="25" s="1"/>
  <c r="C104" i="25" s="1"/>
  <c r="C105" i="25" s="1"/>
  <c r="C106" i="25" s="1"/>
  <c r="C107" i="25" s="1"/>
  <c r="C108" i="25" s="1"/>
  <c r="C109" i="25" s="1"/>
  <c r="C110" i="25" s="1"/>
  <c r="C111" i="25" s="1"/>
  <c r="C112" i="25" s="1"/>
  <c r="C113" i="25" s="1"/>
  <c r="C114" i="25" s="1"/>
  <c r="C115" i="25" s="1"/>
  <c r="C116" i="25" s="1"/>
  <c r="C117" i="25" s="1"/>
  <c r="C118" i="25" s="1"/>
  <c r="C119" i="25" s="1"/>
  <c r="C120" i="25" s="1"/>
  <c r="C121" i="25" s="1"/>
  <c r="C122" i="25" s="1"/>
  <c r="C123" i="25" s="1"/>
  <c r="C124" i="25" s="1"/>
  <c r="C125" i="25" s="1"/>
  <c r="C126" i="25" s="1"/>
  <c r="C127" i="25" s="1"/>
  <c r="C128" i="25" s="1"/>
  <c r="C129" i="25" s="1"/>
  <c r="C130" i="25" s="1"/>
  <c r="C131" i="25" s="1"/>
  <c r="C132" i="25" s="1"/>
  <c r="C133" i="25" s="1"/>
  <c r="C134" i="25" s="1"/>
  <c r="C135" i="25" s="1"/>
  <c r="C136" i="25" s="1"/>
  <c r="C137" i="25" s="1"/>
  <c r="C138" i="25" s="1"/>
  <c r="C139" i="25" s="1"/>
  <c r="C140" i="25" s="1"/>
  <c r="C141" i="25" s="1"/>
  <c r="C142" i="25" s="1"/>
  <c r="C143" i="25" s="1"/>
  <c r="C144" i="25" s="1"/>
  <c r="C145" i="25" s="1"/>
  <c r="C146" i="25" s="1"/>
  <c r="C147" i="25" s="1"/>
  <c r="C148" i="25" s="1"/>
  <c r="C149" i="25" s="1"/>
  <c r="C150" i="25" s="1"/>
  <c r="C151" i="25" s="1"/>
  <c r="C152" i="25" s="1"/>
  <c r="C153" i="25" s="1"/>
  <c r="C154" i="25" s="1"/>
  <c r="I10" i="31"/>
  <c r="D94" i="31" s="1"/>
  <c r="C18" i="42"/>
  <c r="C19" i="42" s="1"/>
  <c r="C20" i="42" s="1"/>
  <c r="C21" i="42" s="1"/>
  <c r="C22" i="42"/>
  <c r="C23" i="42" s="1"/>
  <c r="C24" i="42" s="1"/>
  <c r="C25" i="42" s="1"/>
  <c r="C26" i="42" s="1"/>
  <c r="C27" i="42" s="1"/>
  <c r="C28" i="42" s="1"/>
  <c r="C29" i="42" s="1"/>
  <c r="C30" i="42" s="1"/>
  <c r="C31" i="42" s="1"/>
  <c r="C32" i="42" s="1"/>
  <c r="C33" i="42" s="1"/>
  <c r="C34" i="42" s="1"/>
  <c r="C35" i="42" s="1"/>
  <c r="C36" i="42" s="1"/>
  <c r="C37" i="42" s="1"/>
  <c r="C38" i="42"/>
  <c r="C39" i="42" s="1"/>
  <c r="C40" i="42" s="1"/>
  <c r="C41" i="42" s="1"/>
  <c r="C42" i="42" s="1"/>
  <c r="C43" i="42" s="1"/>
  <c r="C44" i="42" s="1"/>
  <c r="C100" i="42"/>
  <c r="C101" i="42"/>
  <c r="C102" i="42" s="1"/>
  <c r="C103" i="42" s="1"/>
  <c r="C104" i="42" s="1"/>
  <c r="C105" i="42"/>
  <c r="C106" i="42" s="1"/>
  <c r="C107" i="42" s="1"/>
  <c r="C108" i="42" s="1"/>
  <c r="C109" i="42"/>
  <c r="C110" i="42" s="1"/>
  <c r="C111" i="42" s="1"/>
  <c r="C112" i="42" s="1"/>
  <c r="C113" i="42" s="1"/>
  <c r="C114" i="42" s="1"/>
  <c r="C115" i="42" s="1"/>
  <c r="C116" i="42" s="1"/>
  <c r="C117" i="42" s="1"/>
  <c r="C118" i="42" s="1"/>
  <c r="C119" i="42" s="1"/>
  <c r="C120" i="42" s="1"/>
  <c r="C121" i="42" s="1"/>
  <c r="C122" i="42" s="1"/>
  <c r="C123" i="42" s="1"/>
  <c r="C124" i="42" s="1"/>
  <c r="C125" i="42"/>
  <c r="C126" i="42" s="1"/>
  <c r="C127" i="42" s="1"/>
  <c r="C128" i="42" s="1"/>
  <c r="C129" i="42" s="1"/>
  <c r="C130" i="42" s="1"/>
  <c r="C131" i="42" s="1"/>
  <c r="C132" i="42" s="1"/>
  <c r="C133" i="42" s="1"/>
  <c r="C134" i="42" s="1"/>
  <c r="C135" i="42" s="1"/>
  <c r="C136" i="42" s="1"/>
  <c r="C137" i="42" s="1"/>
  <c r="C138" i="42" s="1"/>
  <c r="C139" i="42" s="1"/>
  <c r="C140" i="42" s="1"/>
  <c r="C141" i="42"/>
  <c r="C142" i="42" s="1"/>
  <c r="C143" i="42" s="1"/>
  <c r="C144" i="42" s="1"/>
  <c r="C145" i="42" s="1"/>
  <c r="C146" i="42" s="1"/>
  <c r="C147" i="42" s="1"/>
  <c r="C148" i="42" s="1"/>
  <c r="C149" i="42" s="1"/>
  <c r="C150" i="42" s="1"/>
  <c r="C151" i="42" s="1"/>
  <c r="C152" i="42" s="1"/>
  <c r="C153" i="42" s="1"/>
  <c r="C154" i="42" s="1"/>
  <c r="C100" i="41"/>
  <c r="C101" i="41"/>
  <c r="C102" i="41"/>
  <c r="C103" i="41" s="1"/>
  <c r="C104" i="41" s="1"/>
  <c r="C105" i="41" s="1"/>
  <c r="C106" i="41"/>
  <c r="C107" i="41" s="1"/>
  <c r="C108" i="41" s="1"/>
  <c r="C109" i="41" s="1"/>
  <c r="C110" i="4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B110" i="7"/>
  <c r="J109" i="7"/>
  <c r="J106" i="5"/>
  <c r="C99" i="40"/>
  <c r="C100" i="40" s="1"/>
  <c r="C101" i="40" s="1"/>
  <c r="C102" i="40" s="1"/>
  <c r="C103" i="40" s="1"/>
  <c r="C104" i="40" s="1"/>
  <c r="C105" i="40" s="1"/>
  <c r="C106" i="40" s="1"/>
  <c r="C107" i="40" s="1"/>
  <c r="C108" i="40" s="1"/>
  <c r="C109" i="40" s="1"/>
  <c r="C110" i="40" s="1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/>
  <c r="C128" i="40" s="1"/>
  <c r="C129" i="40" s="1"/>
  <c r="C130" i="40" s="1"/>
  <c r="C131" i="40" s="1"/>
  <c r="C132" i="40" s="1"/>
  <c r="C133" i="40" s="1"/>
  <c r="C134" i="40" s="1"/>
  <c r="C135" i="40" s="1"/>
  <c r="C136" i="40" s="1"/>
  <c r="C137" i="40" s="1"/>
  <c r="C138" i="40" s="1"/>
  <c r="C139" i="40" s="1"/>
  <c r="C140" i="40" s="1"/>
  <c r="C141" i="40" s="1"/>
  <c r="C142" i="40" s="1"/>
  <c r="C143" i="40"/>
  <c r="C144" i="40" s="1"/>
  <c r="C145" i="40" s="1"/>
  <c r="C146" i="40" s="1"/>
  <c r="C147" i="40" s="1"/>
  <c r="C148" i="40" s="1"/>
  <c r="C149" i="40" s="1"/>
  <c r="C150" i="40" s="1"/>
  <c r="C151" i="40" s="1"/>
  <c r="C152" i="40" s="1"/>
  <c r="C153" i="40" s="1"/>
  <c r="C154" i="40" s="1"/>
  <c r="I10" i="40"/>
  <c r="I10" i="8"/>
  <c r="I10" i="41"/>
  <c r="I10" i="22"/>
  <c r="D94" i="22" s="1"/>
  <c r="I10" i="6"/>
  <c r="D93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I10" i="37"/>
  <c r="D93" i="37" s="1"/>
  <c r="C99" i="37" s="1"/>
  <c r="C100" i="37" s="1"/>
  <c r="C101" i="37" s="1"/>
  <c r="C102" i="37" s="1"/>
  <c r="C103" i="37" s="1"/>
  <c r="C104" i="37" s="1"/>
  <c r="I10" i="28"/>
  <c r="I10" i="39"/>
  <c r="D93" i="39" s="1"/>
  <c r="C99" i="39" s="1"/>
  <c r="C100" i="39" s="1"/>
  <c r="C101" i="39" s="1"/>
  <c r="C102" i="39" s="1"/>
  <c r="C103" i="39" s="1"/>
  <c r="C104" i="39" s="1"/>
  <c r="C105" i="39" s="1"/>
  <c r="C106" i="39" s="1"/>
  <c r="C107" i="39" s="1"/>
  <c r="C108" i="39" s="1"/>
  <c r="C109" i="39" s="1"/>
  <c r="C110" i="39" s="1"/>
  <c r="C111" i="39" s="1"/>
  <c r="C112" i="39" s="1"/>
  <c r="C113" i="39" s="1"/>
  <c r="C114" i="39" s="1"/>
  <c r="C115" i="39" s="1"/>
  <c r="C116" i="39" s="1"/>
  <c r="C117" i="39" s="1"/>
  <c r="C118" i="39" s="1"/>
  <c r="C119" i="39" s="1"/>
  <c r="C120" i="39" s="1"/>
  <c r="C121" i="39" s="1"/>
  <c r="C122" i="39" s="1"/>
  <c r="C123" i="39" s="1"/>
  <c r="C124" i="39" s="1"/>
  <c r="C125" i="39" s="1"/>
  <c r="C126" i="39" s="1"/>
  <c r="C127" i="39" s="1"/>
  <c r="C128" i="39" s="1"/>
  <c r="C129" i="39" s="1"/>
  <c r="C130" i="39" s="1"/>
  <c r="C131" i="39" s="1"/>
  <c r="C132" i="39" s="1"/>
  <c r="C133" i="39" s="1"/>
  <c r="C134" i="39" s="1"/>
  <c r="C135" i="39" s="1"/>
  <c r="C136" i="39" s="1"/>
  <c r="C137" i="39" s="1"/>
  <c r="C138" i="39" s="1"/>
  <c r="C139" i="39" s="1"/>
  <c r="C140" i="39" s="1"/>
  <c r="C141" i="39" s="1"/>
  <c r="C142" i="39" s="1"/>
  <c r="C143" i="39" s="1"/>
  <c r="C144" i="39" s="1"/>
  <c r="C145" i="39" s="1"/>
  <c r="C146" i="39" s="1"/>
  <c r="C147" i="39" s="1"/>
  <c r="C148" i="39" s="1"/>
  <c r="C149" i="39" s="1"/>
  <c r="C150" i="39" s="1"/>
  <c r="C151" i="39" s="1"/>
  <c r="C152" i="39" s="1"/>
  <c r="C153" i="39" s="1"/>
  <c r="C154" i="39" s="1"/>
  <c r="I10" i="3"/>
  <c r="D94" i="3" s="1"/>
  <c r="I10" i="10"/>
  <c r="D94" i="10" s="1"/>
  <c r="I10" i="23"/>
  <c r="D93" i="23" s="1"/>
  <c r="I10" i="24"/>
  <c r="I10" i="5"/>
  <c r="D93" i="5" s="1"/>
  <c r="I10" i="11"/>
  <c r="D93" i="11" s="1"/>
  <c r="I10" i="42"/>
  <c r="I10" i="4"/>
  <c r="D93" i="4" s="1"/>
  <c r="I10" i="29"/>
  <c r="D94" i="29" s="1"/>
  <c r="I10" i="38"/>
  <c r="I10" i="30"/>
  <c r="D93" i="30" s="1"/>
  <c r="C99" i="30" s="1"/>
  <c r="I10" i="9"/>
  <c r="I10" i="13"/>
  <c r="D92" i="13" s="1"/>
  <c r="E99" i="13" s="1"/>
  <c r="F99" i="13" s="1"/>
  <c r="G99" i="13" s="1"/>
  <c r="B108" i="6"/>
  <c r="B21" i="31"/>
  <c r="I20" i="31"/>
  <c r="J101" i="31"/>
  <c r="B102" i="31"/>
  <c r="J92" i="41"/>
  <c r="L86" i="41" s="1"/>
  <c r="J94" i="31"/>
  <c r="J95" i="31" s="1"/>
  <c r="J94" i="22"/>
  <c r="J95" i="22" s="1"/>
  <c r="J94" i="37"/>
  <c r="J95" i="37" s="1"/>
  <c r="J94" i="5"/>
  <c r="J95" i="5" s="1"/>
  <c r="J94" i="23"/>
  <c r="J95" i="23" s="1"/>
  <c r="J94" i="41"/>
  <c r="J95" i="41" s="1"/>
  <c r="J94" i="24"/>
  <c r="J95" i="24" s="1"/>
  <c r="J94" i="10"/>
  <c r="J95" i="10" s="1"/>
  <c r="J94" i="29"/>
  <c r="J95" i="29" s="1"/>
  <c r="J94" i="39"/>
  <c r="J95" i="39" s="1"/>
  <c r="J94" i="42"/>
  <c r="J95" i="42" s="1"/>
  <c r="J94" i="40"/>
  <c r="J95" i="40" s="1"/>
  <c r="B109" i="6"/>
  <c r="B110" i="11"/>
  <c r="O26" i="6"/>
  <c r="L20" i="31"/>
  <c r="O20" i="31"/>
  <c r="B18" i="38"/>
  <c r="I17" i="38"/>
  <c r="B108" i="5"/>
  <c r="B107" i="22"/>
  <c r="J103" i="27"/>
  <c r="J107" i="5"/>
  <c r="J108" i="6"/>
  <c r="B28" i="6"/>
  <c r="B27" i="4"/>
  <c r="B25" i="23"/>
  <c r="B22" i="31"/>
  <c r="B26" i="25"/>
  <c r="B18" i="40"/>
  <c r="B29" i="11"/>
  <c r="B27" i="5"/>
  <c r="B22" i="29"/>
  <c r="B30" i="7"/>
  <c r="B19" i="39"/>
  <c r="B18" i="41"/>
  <c r="J106" i="22"/>
  <c r="J102" i="28"/>
  <c r="J108" i="8"/>
  <c r="I20" i="30"/>
  <c r="I21" i="31"/>
  <c r="I27" i="8"/>
  <c r="I28" i="9"/>
  <c r="I27" i="6"/>
  <c r="I29" i="10"/>
  <c r="I26" i="3"/>
  <c r="I26" i="4"/>
  <c r="I18" i="39"/>
  <c r="I29" i="7"/>
  <c r="I17" i="40"/>
  <c r="I17" i="42"/>
  <c r="I18" i="37"/>
  <c r="B29" i="9"/>
  <c r="I23" i="24"/>
  <c r="I18" i="38"/>
  <c r="I28" i="11"/>
  <c r="I25" i="25"/>
  <c r="I21" i="28"/>
  <c r="I26" i="5"/>
  <c r="I17" i="41"/>
  <c r="I21" i="29"/>
  <c r="B21" i="30"/>
  <c r="B19" i="37"/>
  <c r="I24" i="23"/>
  <c r="I25" i="22"/>
  <c r="C18" i="43"/>
  <c r="C19" i="43" s="1"/>
  <c r="C20" i="43" s="1"/>
  <c r="C21" i="43" s="1"/>
  <c r="C22" i="43" s="1"/>
  <c r="C23" i="43" s="1"/>
  <c r="C24" i="43" s="1"/>
  <c r="C25" i="43" s="1"/>
  <c r="C26" i="43" s="1"/>
  <c r="C27" i="43" s="1"/>
  <c r="C28" i="43" s="1"/>
  <c r="C29" i="43" s="1"/>
  <c r="C30" i="43" s="1"/>
  <c r="C31" i="43" s="1"/>
  <c r="C32" i="43" s="1"/>
  <c r="C33" i="43" s="1"/>
  <c r="C34" i="43" s="1"/>
  <c r="C35" i="43" s="1"/>
  <c r="C36" i="43" s="1"/>
  <c r="C37" i="43" s="1"/>
  <c r="C38" i="43" s="1"/>
  <c r="C39" i="43" s="1"/>
  <c r="C40" i="43" s="1"/>
  <c r="C41" i="43" s="1"/>
  <c r="C42" i="43" s="1"/>
  <c r="C43" i="43" s="1"/>
  <c r="C44" i="43" s="1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60" i="43" s="1"/>
  <c r="C61" i="43" s="1"/>
  <c r="C62" i="43" s="1"/>
  <c r="C63" i="43" s="1"/>
  <c r="C64" i="43" s="1"/>
  <c r="C65" i="43" s="1"/>
  <c r="C66" i="43" s="1"/>
  <c r="C67" i="43" s="1"/>
  <c r="C68" i="43" s="1"/>
  <c r="C69" i="43" s="1"/>
  <c r="C70" i="43" s="1"/>
  <c r="C71" i="43" s="1"/>
  <c r="C72" i="43" s="1"/>
  <c r="C100" i="43"/>
  <c r="C101" i="43" s="1"/>
  <c r="C102" i="43" s="1"/>
  <c r="C103" i="43" s="1"/>
  <c r="C104" i="43" s="1"/>
  <c r="C105" i="43" s="1"/>
  <c r="C106" i="43" s="1"/>
  <c r="C107" i="43" s="1"/>
  <c r="C108" i="43" s="1"/>
  <c r="C109" i="43" s="1"/>
  <c r="C110" i="43" s="1"/>
  <c r="C111" i="43" s="1"/>
  <c r="C112" i="43" s="1"/>
  <c r="C113" i="43" s="1"/>
  <c r="C114" i="43" s="1"/>
  <c r="C115" i="43" s="1"/>
  <c r="C116" i="43" s="1"/>
  <c r="C117" i="43" s="1"/>
  <c r="C118" i="43" s="1"/>
  <c r="C119" i="43" s="1"/>
  <c r="C120" i="43" s="1"/>
  <c r="C121" i="43" s="1"/>
  <c r="C122" i="43" s="1"/>
  <c r="C123" i="43" s="1"/>
  <c r="C124" i="43" s="1"/>
  <c r="C125" i="43" s="1"/>
  <c r="C126" i="43" s="1"/>
  <c r="C127" i="43" s="1"/>
  <c r="C128" i="43" s="1"/>
  <c r="C129" i="43" s="1"/>
  <c r="C130" i="43" s="1"/>
  <c r="C131" i="43" s="1"/>
  <c r="C132" i="43" s="1"/>
  <c r="C133" i="43" s="1"/>
  <c r="C134" i="43" s="1"/>
  <c r="C135" i="43" s="1"/>
  <c r="C136" i="43" s="1"/>
  <c r="C137" i="43" s="1"/>
  <c r="C138" i="43" s="1"/>
  <c r="C139" i="43" s="1"/>
  <c r="C140" i="43" s="1"/>
  <c r="C141" i="43" s="1"/>
  <c r="C142" i="43" s="1"/>
  <c r="C143" i="43" s="1"/>
  <c r="C144" i="43" s="1"/>
  <c r="C145" i="43" s="1"/>
  <c r="C146" i="43" s="1"/>
  <c r="C147" i="43" s="1"/>
  <c r="C148" i="43" s="1"/>
  <c r="C149" i="43" s="1"/>
  <c r="C150" i="43" s="1"/>
  <c r="C151" i="43" s="1"/>
  <c r="C152" i="43" s="1"/>
  <c r="C153" i="43" s="1"/>
  <c r="C154" i="43" s="1"/>
  <c r="P99" i="39"/>
  <c r="B19" i="38"/>
  <c r="P99" i="37"/>
  <c r="O17" i="37"/>
  <c r="O20" i="37"/>
  <c r="B103" i="28"/>
  <c r="B22" i="28"/>
  <c r="B109" i="8"/>
  <c r="B27" i="3"/>
  <c r="C45" i="13"/>
  <c r="C46" i="13" s="1"/>
  <c r="C47" i="13" s="1"/>
  <c r="C48" i="13" s="1"/>
  <c r="C49" i="13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/>
  <c r="C66" i="13" s="1"/>
  <c r="C67" i="13" s="1"/>
  <c r="C68" i="13" s="1"/>
  <c r="C69" i="13" s="1"/>
  <c r="C70" i="13" s="1"/>
  <c r="C71" i="13" s="1"/>
  <c r="C72" i="13" s="1"/>
  <c r="B101" i="30"/>
  <c r="O23" i="7"/>
  <c r="B104" i="27"/>
  <c r="C45" i="4"/>
  <c r="C46" i="4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45" i="3"/>
  <c r="C46" i="3" s="1"/>
  <c r="C47" i="3" s="1"/>
  <c r="C48" i="3" s="1"/>
  <c r="C49" i="3" s="1"/>
  <c r="C50" i="3" s="1"/>
  <c r="C51" i="3" s="1"/>
  <c r="C52" i="3" s="1"/>
  <c r="C53" i="3"/>
  <c r="C54" i="3" s="1"/>
  <c r="C55" i="3" s="1"/>
  <c r="C56" i="3" s="1"/>
  <c r="C57" i="3" s="1"/>
  <c r="C58" i="3" s="1"/>
  <c r="C59" i="3" s="1"/>
  <c r="C60" i="3" s="1"/>
  <c r="C61" i="3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O19" i="3"/>
  <c r="O21" i="11"/>
  <c r="P103" i="11"/>
  <c r="P101" i="11"/>
  <c r="C100" i="24"/>
  <c r="C101" i="24"/>
  <c r="C102" i="24" s="1"/>
  <c r="C103" i="24" s="1"/>
  <c r="C104" i="24"/>
  <c r="C105" i="24" s="1"/>
  <c r="C106" i="24" s="1"/>
  <c r="C107" i="24" s="1"/>
  <c r="C108" i="24" s="1"/>
  <c r="C109" i="24" s="1"/>
  <c r="C110" i="24" s="1"/>
  <c r="C111" i="24" s="1"/>
  <c r="C112" i="24" s="1"/>
  <c r="C113" i="24" s="1"/>
  <c r="C114" i="24" s="1"/>
  <c r="C115" i="24" s="1"/>
  <c r="C116" i="24" s="1"/>
  <c r="C117" i="24" s="1"/>
  <c r="C118" i="24" s="1"/>
  <c r="C119" i="24" s="1"/>
  <c r="C120" i="24" s="1"/>
  <c r="C121" i="24" s="1"/>
  <c r="C122" i="24" s="1"/>
  <c r="C123" i="24" s="1"/>
  <c r="C124" i="24" s="1"/>
  <c r="C125" i="24" s="1"/>
  <c r="C126" i="24" s="1"/>
  <c r="C127" i="24" s="1"/>
  <c r="C128" i="24" s="1"/>
  <c r="C129" i="24" s="1"/>
  <c r="C130" i="24" s="1"/>
  <c r="C131" i="24" s="1"/>
  <c r="C132" i="24" s="1"/>
  <c r="C133" i="24" s="1"/>
  <c r="C134" i="24" s="1"/>
  <c r="C135" i="24" s="1"/>
  <c r="C136" i="24" s="1"/>
  <c r="C137" i="24" s="1"/>
  <c r="C138" i="24" s="1"/>
  <c r="D99" i="24"/>
  <c r="P99" i="4"/>
  <c r="P100" i="6"/>
  <c r="P104" i="7"/>
  <c r="P99" i="7"/>
  <c r="O20" i="7"/>
  <c r="P103" i="10"/>
  <c r="P99" i="10"/>
  <c r="O18" i="22"/>
  <c r="P99" i="5"/>
  <c r="O22" i="7"/>
  <c r="P102" i="11"/>
  <c r="O21" i="10"/>
  <c r="O17" i="4"/>
  <c r="P100" i="5"/>
  <c r="O19" i="7"/>
  <c r="P100" i="11"/>
  <c r="O20" i="11"/>
  <c r="P99" i="22"/>
  <c r="O22" i="4"/>
  <c r="O23" i="6"/>
  <c r="P100" i="24"/>
  <c r="O17" i="28"/>
  <c r="O27" i="7"/>
  <c r="P102" i="10"/>
  <c r="P99" i="11"/>
  <c r="O19" i="11"/>
  <c r="P99" i="25"/>
  <c r="P100" i="25"/>
  <c r="P106" i="7"/>
  <c r="O24" i="9"/>
  <c r="O25" i="10"/>
  <c r="P99" i="27"/>
  <c r="P103" i="6"/>
  <c r="P103" i="5"/>
  <c r="P99" i="28"/>
  <c r="O24" i="4"/>
  <c r="O27" i="9"/>
  <c r="P107" i="8"/>
  <c r="O27" i="11"/>
  <c r="O23" i="23"/>
  <c r="O20" i="28"/>
  <c r="P101" i="29"/>
  <c r="P109" i="10"/>
  <c r="P105" i="22"/>
  <c r="P103" i="24"/>
  <c r="P102" i="27"/>
  <c r="P103" i="23"/>
  <c r="O19" i="29"/>
  <c r="C139" i="24"/>
  <c r="C140" i="24" s="1"/>
  <c r="C141" i="24" s="1"/>
  <c r="C142" i="24" s="1"/>
  <c r="C143" i="24" s="1"/>
  <c r="C144" i="24" s="1"/>
  <c r="C145" i="24" s="1"/>
  <c r="C146" i="24" s="1"/>
  <c r="C147" i="24" s="1"/>
  <c r="C148" i="24" s="1"/>
  <c r="C149" i="24" s="1"/>
  <c r="C150" i="24" s="1"/>
  <c r="C151" i="24" s="1"/>
  <c r="C152" i="24" s="1"/>
  <c r="C153" i="24" s="1"/>
  <c r="C154" i="24" s="1"/>
  <c r="B111" i="10"/>
  <c r="B100" i="38"/>
  <c r="J109" i="11"/>
  <c r="B103" i="29"/>
  <c r="J102" i="29"/>
  <c r="B22" i="27"/>
  <c r="B102" i="30"/>
  <c r="J110" i="10"/>
  <c r="B100" i="39"/>
  <c r="B103" i="31"/>
  <c r="J99" i="37"/>
  <c r="B105" i="24"/>
  <c r="J99" i="38"/>
  <c r="B111" i="7"/>
  <c r="B107" i="25"/>
  <c r="B108" i="3"/>
  <c r="B108" i="4"/>
  <c r="B106" i="23"/>
  <c r="I22" i="27"/>
  <c r="B110" i="9"/>
  <c r="J99" i="39"/>
  <c r="J109" i="9"/>
  <c r="J105" i="23"/>
  <c r="J106" i="25"/>
  <c r="J110" i="7"/>
  <c r="J104" i="24"/>
  <c r="J107" i="4"/>
  <c r="J107" i="3"/>
  <c r="J102" i="31"/>
  <c r="J101" i="30"/>
  <c r="O19" i="39"/>
  <c r="C45" i="38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C61" i="38" s="1"/>
  <c r="C62" i="38" s="1"/>
  <c r="C63" i="38" s="1"/>
  <c r="C64" i="38" s="1"/>
  <c r="C65" i="38" s="1"/>
  <c r="C66" i="38" s="1"/>
  <c r="C67" i="38" s="1"/>
  <c r="C68" i="38" s="1"/>
  <c r="C69" i="38" s="1"/>
  <c r="C70" i="38" s="1"/>
  <c r="C71" i="38" s="1"/>
  <c r="C72" i="38" s="1"/>
  <c r="I10" i="44"/>
  <c r="I10" i="46"/>
  <c r="I10" i="43"/>
  <c r="N58" i="17"/>
  <c r="O58" i="17"/>
  <c r="F58" i="17"/>
  <c r="C58" i="17"/>
  <c r="D58" i="17"/>
  <c r="E58" i="17"/>
  <c r="C61" i="2" l="1"/>
  <c r="D93" i="3"/>
  <c r="C99" i="3" s="1"/>
  <c r="C76" i="2"/>
  <c r="F14" i="2"/>
  <c r="E19" i="2" s="1"/>
  <c r="F19" i="2" s="1"/>
  <c r="F17" i="2"/>
  <c r="D94" i="23"/>
  <c r="I12" i="24"/>
  <c r="I13" i="24" s="1"/>
  <c r="F18" i="2"/>
  <c r="J94" i="49"/>
  <c r="J94" i="48"/>
  <c r="J94" i="47"/>
  <c r="J95" i="47" s="1"/>
  <c r="I12" i="42"/>
  <c r="I13" i="42" s="1"/>
  <c r="I12" i="49"/>
  <c r="I12" i="48"/>
  <c r="I13" i="48" s="1"/>
  <c r="I12" i="47"/>
  <c r="I13" i="47" s="1"/>
  <c r="G100" i="49"/>
  <c r="D101" i="49"/>
  <c r="B101" i="49" s="1"/>
  <c r="H100" i="48"/>
  <c r="E101" i="48"/>
  <c r="F101" i="48" s="1"/>
  <c r="B101" i="48"/>
  <c r="O23" i="24"/>
  <c r="O18" i="37"/>
  <c r="O22" i="27"/>
  <c r="O26" i="5"/>
  <c r="J92" i="45"/>
  <c r="M87" i="45" s="1"/>
  <c r="J92" i="49"/>
  <c r="J92" i="47"/>
  <c r="J92" i="48"/>
  <c r="O58" i="8"/>
  <c r="O52" i="23"/>
  <c r="F88" i="1"/>
  <c r="F89" i="1" s="1"/>
  <c r="F91" i="1" s="1"/>
  <c r="F92" i="1" s="1"/>
  <c r="F93" i="1" s="1"/>
  <c r="O59" i="27"/>
  <c r="O55" i="31"/>
  <c r="O34" i="37"/>
  <c r="O52" i="37"/>
  <c r="O56" i="37"/>
  <c r="I12" i="22"/>
  <c r="I13" i="22" s="1"/>
  <c r="I12" i="23"/>
  <c r="I13" i="23" s="1"/>
  <c r="I12" i="30"/>
  <c r="I13" i="30" s="1"/>
  <c r="I12" i="11"/>
  <c r="I13" i="11" s="1"/>
  <c r="O29" i="5"/>
  <c r="O26" i="37"/>
  <c r="O45" i="40"/>
  <c r="O67" i="45"/>
  <c r="I12" i="31"/>
  <c r="I13" i="31" s="1"/>
  <c r="I12" i="8"/>
  <c r="I13" i="8" s="1"/>
  <c r="I12" i="29"/>
  <c r="I13" i="29" s="1"/>
  <c r="I12" i="27"/>
  <c r="I13" i="27" s="1"/>
  <c r="I12" i="5"/>
  <c r="I13" i="5" s="1"/>
  <c r="I12" i="10"/>
  <c r="I13" i="10" s="1"/>
  <c r="F18" i="1"/>
  <c r="I12" i="39"/>
  <c r="I13" i="39" s="1"/>
  <c r="I12" i="7"/>
  <c r="I13" i="7" s="1"/>
  <c r="I12" i="41"/>
  <c r="I13" i="41" s="1"/>
  <c r="I12" i="9"/>
  <c r="I13" i="9" s="1"/>
  <c r="I12" i="6"/>
  <c r="I13" i="6" s="1"/>
  <c r="I12" i="4"/>
  <c r="I13" i="4" s="1"/>
  <c r="C77" i="1"/>
  <c r="I12" i="40"/>
  <c r="I13" i="40" s="1"/>
  <c r="I12" i="38"/>
  <c r="I13" i="38" s="1"/>
  <c r="I12" i="13"/>
  <c r="I13" i="13" s="1"/>
  <c r="I12" i="28"/>
  <c r="I13" i="28" s="1"/>
  <c r="I12" i="3"/>
  <c r="I13" i="3" s="1"/>
  <c r="I12" i="25"/>
  <c r="I13" i="25" s="1"/>
  <c r="C59" i="1"/>
  <c r="O46" i="23"/>
  <c r="O31" i="9"/>
  <c r="O25" i="27"/>
  <c r="O29" i="27"/>
  <c r="O37" i="27"/>
  <c r="O39" i="27"/>
  <c r="O45" i="27"/>
  <c r="O47" i="27"/>
  <c r="O51" i="27"/>
  <c r="O53" i="27"/>
  <c r="O55" i="27"/>
  <c r="O57" i="27"/>
  <c r="O61" i="27"/>
  <c r="O65" i="27"/>
  <c r="O67" i="27"/>
  <c r="O39" i="28"/>
  <c r="O43" i="22"/>
  <c r="O37" i="22"/>
  <c r="O31" i="22"/>
  <c r="O64" i="29"/>
  <c r="O48" i="5"/>
  <c r="O40" i="5"/>
  <c r="O38" i="5"/>
  <c r="O39" i="6"/>
  <c r="O54" i="13"/>
  <c r="O50" i="13"/>
  <c r="O46" i="13"/>
  <c r="O38" i="38"/>
  <c r="O25" i="44"/>
  <c r="O51" i="45"/>
  <c r="O55" i="45"/>
  <c r="O71" i="45"/>
  <c r="O57" i="44"/>
  <c r="O31" i="39"/>
  <c r="O35" i="39"/>
  <c r="O45" i="39"/>
  <c r="O67" i="39"/>
  <c r="O22" i="37"/>
  <c r="O24" i="37"/>
  <c r="O28" i="37"/>
  <c r="O30" i="37"/>
  <c r="O32" i="37"/>
  <c r="O36" i="37"/>
  <c r="O38" i="37"/>
  <c r="O50" i="37"/>
  <c r="O54" i="37"/>
  <c r="O58" i="37"/>
  <c r="O60" i="37"/>
  <c r="O62" i="37"/>
  <c r="O66" i="37"/>
  <c r="O68" i="37"/>
  <c r="O70" i="37"/>
  <c r="O25" i="31"/>
  <c r="O35" i="31"/>
  <c r="O37" i="31"/>
  <c r="O41" i="31"/>
  <c r="O51" i="31"/>
  <c r="O59" i="31"/>
  <c r="O67" i="31"/>
  <c r="O69" i="31"/>
  <c r="O71" i="31"/>
  <c r="O52" i="30"/>
  <c r="O70" i="23"/>
  <c r="O64" i="23"/>
  <c r="O60" i="23"/>
  <c r="O58" i="23"/>
  <c r="O54" i="23"/>
  <c r="O50" i="23"/>
  <c r="O42" i="23"/>
  <c r="O62" i="8"/>
  <c r="O58" i="9"/>
  <c r="O33" i="23"/>
  <c r="O38" i="9"/>
  <c r="O53" i="28"/>
  <c r="O57" i="28"/>
  <c r="O71" i="28"/>
  <c r="O52" i="29"/>
  <c r="O72" i="31"/>
  <c r="O49" i="42"/>
  <c r="O51" i="42"/>
  <c r="O33" i="27"/>
  <c r="O69" i="44"/>
  <c r="F17" i="1"/>
  <c r="O55" i="7"/>
  <c r="O49" i="7"/>
  <c r="O71" i="13"/>
  <c r="O69" i="13"/>
  <c r="O65" i="13"/>
  <c r="O63" i="13"/>
  <c r="O61" i="13"/>
  <c r="O59" i="13"/>
  <c r="O57" i="13"/>
  <c r="O45" i="13"/>
  <c r="O41" i="13"/>
  <c r="O35" i="13"/>
  <c r="O25" i="13"/>
  <c r="O23" i="13"/>
  <c r="O21" i="13"/>
  <c r="O19" i="13"/>
  <c r="O71" i="22"/>
  <c r="O67" i="22"/>
  <c r="O59" i="22"/>
  <c r="O47" i="22"/>
  <c r="O41" i="22"/>
  <c r="O39" i="22"/>
  <c r="O29" i="22"/>
  <c r="O72" i="25"/>
  <c r="O68" i="25"/>
  <c r="O64" i="25"/>
  <c r="O62" i="25"/>
  <c r="O60" i="25"/>
  <c r="O56" i="25"/>
  <c r="O54" i="25"/>
  <c r="O50" i="25"/>
  <c r="O48" i="25"/>
  <c r="O44" i="25"/>
  <c r="O36" i="25"/>
  <c r="O34" i="25"/>
  <c r="O30" i="25"/>
  <c r="O28" i="25"/>
  <c r="O23" i="30"/>
  <c r="O47" i="30"/>
  <c r="O54" i="40"/>
  <c r="O60" i="40"/>
  <c r="O52" i="44"/>
  <c r="D94" i="5"/>
  <c r="D94" i="13"/>
  <c r="O33" i="44"/>
  <c r="O41" i="44"/>
  <c r="O65" i="44"/>
  <c r="D94" i="6"/>
  <c r="O69" i="11"/>
  <c r="O37" i="11"/>
  <c r="O71" i="24"/>
  <c r="O61" i="24"/>
  <c r="O37" i="24"/>
  <c r="O67" i="29"/>
  <c r="O23" i="31"/>
  <c r="O27" i="31"/>
  <c r="O47" i="31"/>
  <c r="O59" i="45"/>
  <c r="O49" i="44"/>
  <c r="O33" i="41"/>
  <c r="O57" i="41"/>
  <c r="O24" i="40"/>
  <c r="O26" i="40"/>
  <c r="O28" i="40"/>
  <c r="O30" i="40"/>
  <c r="O32" i="40"/>
  <c r="O34" i="40"/>
  <c r="O36" i="40"/>
  <c r="O38" i="40"/>
  <c r="O40" i="40"/>
  <c r="O42" i="40"/>
  <c r="O44" i="40"/>
  <c r="O46" i="40"/>
  <c r="O50" i="40"/>
  <c r="O52" i="40"/>
  <c r="O56" i="40"/>
  <c r="O58" i="40"/>
  <c r="O62" i="40"/>
  <c r="O64" i="40"/>
  <c r="O66" i="40"/>
  <c r="O70" i="40"/>
  <c r="O72" i="40"/>
  <c r="O25" i="39"/>
  <c r="O41" i="39"/>
  <c r="O51" i="39"/>
  <c r="O55" i="39"/>
  <c r="O31" i="38"/>
  <c r="O65" i="38"/>
  <c r="O26" i="29"/>
  <c r="O34" i="29"/>
  <c r="O36" i="29"/>
  <c r="O40" i="29"/>
  <c r="O50" i="29"/>
  <c r="O56" i="29"/>
  <c r="O43" i="27"/>
  <c r="O53" i="9"/>
  <c r="O69" i="7"/>
  <c r="O65" i="7"/>
  <c r="O57" i="7"/>
  <c r="O51" i="7"/>
  <c r="O45" i="7"/>
  <c r="O39" i="7"/>
  <c r="O31" i="7"/>
  <c r="O67" i="6"/>
  <c r="O47" i="6"/>
  <c r="O71" i="4"/>
  <c r="O55" i="4"/>
  <c r="O62" i="3"/>
  <c r="O34" i="3"/>
  <c r="J92" i="25"/>
  <c r="M87" i="25" s="1"/>
  <c r="J92" i="10"/>
  <c r="N87" i="10" s="1"/>
  <c r="J92" i="42"/>
  <c r="L86" i="42" s="1"/>
  <c r="J92" i="30"/>
  <c r="L86" i="30" s="1"/>
  <c r="J92" i="40"/>
  <c r="L86" i="40" s="1"/>
  <c r="M19" i="2"/>
  <c r="J92" i="8"/>
  <c r="L86" i="8" s="1"/>
  <c r="J92" i="24"/>
  <c r="L86" i="24" s="1"/>
  <c r="J92" i="7"/>
  <c r="L86" i="7" s="1"/>
  <c r="J92" i="4"/>
  <c r="L86" i="4" s="1"/>
  <c r="J92" i="3"/>
  <c r="M87" i="3" s="1"/>
  <c r="J92" i="31"/>
  <c r="L86" i="31" s="1"/>
  <c r="J92" i="5"/>
  <c r="L86" i="5" s="1"/>
  <c r="J92" i="11"/>
  <c r="M87" i="11" s="1"/>
  <c r="J92" i="29"/>
  <c r="L86" i="29" s="1"/>
  <c r="J92" i="27"/>
  <c r="L86" i="27" s="1"/>
  <c r="J92" i="44"/>
  <c r="N87" i="44" s="1"/>
  <c r="J92" i="37"/>
  <c r="L86" i="37" s="1"/>
  <c r="J92" i="28"/>
  <c r="M87" i="28" s="1"/>
  <c r="J92" i="13"/>
  <c r="L86" i="13" s="1"/>
  <c r="J92" i="43"/>
  <c r="N87" i="43" s="1"/>
  <c r="J92" i="9"/>
  <c r="N87" i="9" s="1"/>
  <c r="J92" i="23"/>
  <c r="L86" i="23" s="1"/>
  <c r="A4" i="2"/>
  <c r="J92" i="6"/>
  <c r="L86" i="6" s="1"/>
  <c r="J92" i="38"/>
  <c r="L86" i="38" s="1"/>
  <c r="J92" i="22"/>
  <c r="M87" i="22" s="1"/>
  <c r="J92" i="39"/>
  <c r="N87" i="39" s="1"/>
  <c r="O22" i="46"/>
  <c r="O26" i="46"/>
  <c r="O28" i="46"/>
  <c r="O30" i="46"/>
  <c r="O32" i="46"/>
  <c r="O46" i="46"/>
  <c r="O58" i="46"/>
  <c r="O62" i="46"/>
  <c r="O34" i="46"/>
  <c r="O35" i="46"/>
  <c r="O43" i="46"/>
  <c r="O51" i="46"/>
  <c r="O69" i="46"/>
  <c r="C45" i="46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61" i="46" s="1"/>
  <c r="C62" i="46" s="1"/>
  <c r="C63" i="46" s="1"/>
  <c r="C64" i="46" s="1"/>
  <c r="C65" i="46" s="1"/>
  <c r="C66" i="46" s="1"/>
  <c r="C67" i="46" s="1"/>
  <c r="C68" i="46" s="1"/>
  <c r="C69" i="46" s="1"/>
  <c r="C70" i="46" s="1"/>
  <c r="C71" i="46" s="1"/>
  <c r="C72" i="46" s="1"/>
  <c r="P51" i="17"/>
  <c r="O17" i="46"/>
  <c r="O33" i="46"/>
  <c r="O39" i="46"/>
  <c r="O41" i="46"/>
  <c r="O49" i="46"/>
  <c r="O57" i="46"/>
  <c r="O65" i="46"/>
  <c r="O71" i="46"/>
  <c r="O55" i="41"/>
  <c r="O20" i="39"/>
  <c r="O24" i="39"/>
  <c r="O26" i="39"/>
  <c r="O32" i="39"/>
  <c r="O34" i="39"/>
  <c r="O38" i="39"/>
  <c r="O40" i="39"/>
  <c r="O44" i="39"/>
  <c r="O56" i="39"/>
  <c r="O58" i="39"/>
  <c r="O60" i="39"/>
  <c r="O64" i="39"/>
  <c r="O72" i="39"/>
  <c r="O28" i="43"/>
  <c r="O44" i="43"/>
  <c r="O17" i="41"/>
  <c r="O48" i="39"/>
  <c r="O21" i="28"/>
  <c r="O23" i="28"/>
  <c r="O25" i="28"/>
  <c r="O27" i="28"/>
  <c r="O29" i="28"/>
  <c r="O31" i="28"/>
  <c r="O35" i="28"/>
  <c r="O45" i="28"/>
  <c r="O47" i="28"/>
  <c r="O59" i="28"/>
  <c r="O61" i="28"/>
  <c r="O65" i="28"/>
  <c r="O67" i="28"/>
  <c r="O71" i="25"/>
  <c r="O65" i="25"/>
  <c r="O63" i="25"/>
  <c r="O57" i="25"/>
  <c r="O55" i="25"/>
  <c r="O53" i="25"/>
  <c r="O51" i="25"/>
  <c r="O71" i="23"/>
  <c r="O69" i="23"/>
  <c r="O65" i="23"/>
  <c r="O63" i="23"/>
  <c r="O61" i="23"/>
  <c r="O59" i="23"/>
  <c r="O57" i="23"/>
  <c r="O55" i="23"/>
  <c r="O47" i="23"/>
  <c r="O43" i="23"/>
  <c r="O37" i="23"/>
  <c r="O28" i="11"/>
  <c r="O35" i="10"/>
  <c r="O29" i="10"/>
  <c r="O28" i="9"/>
  <c r="O44" i="4"/>
  <c r="O26" i="3"/>
  <c r="P154" i="6"/>
  <c r="P150" i="6"/>
  <c r="P146" i="6"/>
  <c r="P144" i="6"/>
  <c r="P138" i="6"/>
  <c r="P136" i="6"/>
  <c r="P134" i="6"/>
  <c r="P132" i="6"/>
  <c r="P122" i="6"/>
  <c r="P116" i="6"/>
  <c r="P114" i="6"/>
  <c r="O31" i="45"/>
  <c r="O33" i="45"/>
  <c r="O41" i="45"/>
  <c r="B18" i="44"/>
  <c r="O17" i="42"/>
  <c r="O21" i="42"/>
  <c r="O45" i="42"/>
  <c r="O22" i="43"/>
  <c r="O60" i="43"/>
  <c r="O18" i="43"/>
  <c r="O26" i="43"/>
  <c r="O32" i="43"/>
  <c r="O36" i="43"/>
  <c r="O38" i="43"/>
  <c r="O48" i="43"/>
  <c r="O52" i="43"/>
  <c r="O54" i="43"/>
  <c r="O64" i="43"/>
  <c r="O68" i="43"/>
  <c r="O20" i="43"/>
  <c r="O40" i="43"/>
  <c r="O56" i="43"/>
  <c r="O70" i="43"/>
  <c r="O72" i="43"/>
  <c r="O37" i="42"/>
  <c r="O43" i="42"/>
  <c r="O53" i="42"/>
  <c r="O55" i="42"/>
  <c r="O59" i="42"/>
  <c r="O61" i="42"/>
  <c r="O21" i="41"/>
  <c r="O25" i="41"/>
  <c r="O27" i="41"/>
  <c r="O29" i="41"/>
  <c r="O31" i="41"/>
  <c r="O35" i="41"/>
  <c r="O45" i="41"/>
  <c r="O47" i="41"/>
  <c r="O59" i="41"/>
  <c r="O61" i="41"/>
  <c r="O63" i="41"/>
  <c r="O65" i="41"/>
  <c r="O67" i="41"/>
  <c r="O71" i="41"/>
  <c r="O19" i="38"/>
  <c r="O21" i="38"/>
  <c r="O29" i="38"/>
  <c r="O35" i="38"/>
  <c r="O39" i="38"/>
  <c r="O59" i="38"/>
  <c r="O61" i="38"/>
  <c r="O63" i="38"/>
  <c r="O67" i="38"/>
  <c r="O69" i="38"/>
  <c r="O71" i="38"/>
  <c r="O31" i="31"/>
  <c r="O33" i="31"/>
  <c r="O39" i="31"/>
  <c r="O43" i="31"/>
  <c r="O45" i="31"/>
  <c r="O49" i="28"/>
  <c r="O69" i="28"/>
  <c r="O72" i="28"/>
  <c r="O27" i="27"/>
  <c r="O49" i="27"/>
  <c r="O67" i="24"/>
  <c r="O65" i="24"/>
  <c r="O63" i="24"/>
  <c r="O55" i="24"/>
  <c r="O53" i="24"/>
  <c r="O47" i="24"/>
  <c r="O35" i="24"/>
  <c r="O33" i="24"/>
  <c r="O27" i="24"/>
  <c r="O25" i="24"/>
  <c r="O41" i="23"/>
  <c r="O39" i="23"/>
  <c r="O35" i="23"/>
  <c r="O31" i="23"/>
  <c r="O27" i="23"/>
  <c r="O67" i="11"/>
  <c r="O63" i="9"/>
  <c r="O61" i="9"/>
  <c r="O57" i="9"/>
  <c r="O51" i="9"/>
  <c r="O47" i="9"/>
  <c r="O72" i="8"/>
  <c r="O70" i="8"/>
  <c r="O68" i="8"/>
  <c r="O66" i="8"/>
  <c r="O60" i="8"/>
  <c r="O56" i="8"/>
  <c r="O54" i="8"/>
  <c r="O52" i="8"/>
  <c r="O50" i="8"/>
  <c r="O39" i="8"/>
  <c r="O57" i="6"/>
  <c r="O55" i="6"/>
  <c r="O51" i="6"/>
  <c r="O49" i="6"/>
  <c r="O45" i="6"/>
  <c r="O72" i="10"/>
  <c r="O66" i="10"/>
  <c r="O62" i="10"/>
  <c r="O60" i="10"/>
  <c r="O58" i="10"/>
  <c r="O56" i="10"/>
  <c r="O52" i="10"/>
  <c r="O46" i="10"/>
  <c r="O40" i="10"/>
  <c r="O38" i="10"/>
  <c r="O36" i="10"/>
  <c r="O32" i="10"/>
  <c r="O67" i="9"/>
  <c r="O65" i="9"/>
  <c r="O59" i="9"/>
  <c r="O49" i="9"/>
  <c r="O48" i="8"/>
  <c r="O67" i="7"/>
  <c r="O59" i="7"/>
  <c r="O53" i="7"/>
  <c r="O35" i="6"/>
  <c r="O33" i="6"/>
  <c r="O31" i="6"/>
  <c r="O71" i="6"/>
  <c r="O65" i="6"/>
  <c r="O53" i="6"/>
  <c r="O68" i="3"/>
  <c r="O66" i="3"/>
  <c r="P130" i="45"/>
  <c r="P111" i="43"/>
  <c r="P115" i="43"/>
  <c r="P121" i="43"/>
  <c r="P112" i="29"/>
  <c r="P124" i="10"/>
  <c r="P123" i="5"/>
  <c r="P111" i="5"/>
  <c r="P153" i="5"/>
  <c r="P147" i="5"/>
  <c r="P145" i="5"/>
  <c r="P139" i="5"/>
  <c r="P131" i="5"/>
  <c r="P113" i="5"/>
  <c r="D94" i="4"/>
  <c r="D94" i="25"/>
  <c r="M87" i="23"/>
  <c r="P129" i="4"/>
  <c r="P113" i="4"/>
  <c r="C82" i="2"/>
  <c r="C59" i="2"/>
  <c r="C14" i="2"/>
  <c r="C39" i="2"/>
  <c r="C77" i="2"/>
  <c r="C80" i="2"/>
  <c r="C28" i="2"/>
  <c r="C62" i="2"/>
  <c r="C10" i="2"/>
  <c r="C56" i="2"/>
  <c r="C8" i="2"/>
  <c r="C55" i="2"/>
  <c r="C73" i="2"/>
  <c r="C50" i="2"/>
  <c r="C22" i="2"/>
  <c r="P107" i="38"/>
  <c r="O45" i="3"/>
  <c r="O51" i="29"/>
  <c r="O69" i="29"/>
  <c r="O71" i="29"/>
  <c r="O58" i="30"/>
  <c r="O52" i="31"/>
  <c r="O20" i="38"/>
  <c r="O63" i="11"/>
  <c r="O57" i="11"/>
  <c r="O62" i="13"/>
  <c r="O44" i="6"/>
  <c r="O42" i="6"/>
  <c r="O40" i="6"/>
  <c r="O38" i="6"/>
  <c r="O36" i="6"/>
  <c r="O34" i="6"/>
  <c r="O32" i="6"/>
  <c r="O30" i="6"/>
  <c r="O49" i="25"/>
  <c r="O47" i="25"/>
  <c r="O45" i="25"/>
  <c r="O43" i="25"/>
  <c r="O54" i="46"/>
  <c r="O64" i="3"/>
  <c r="O60" i="3"/>
  <c r="O50" i="3"/>
  <c r="O46" i="3"/>
  <c r="O44" i="5"/>
  <c r="O41" i="7"/>
  <c r="O37" i="7"/>
  <c r="O35" i="7"/>
  <c r="O45" i="9"/>
  <c r="O43" i="9"/>
  <c r="O41" i="9"/>
  <c r="O37" i="9"/>
  <c r="O35" i="9"/>
  <c r="O33" i="9"/>
  <c r="O40" i="37"/>
  <c r="O25" i="46"/>
  <c r="O37" i="5"/>
  <c r="O48" i="7"/>
  <c r="O32" i="7"/>
  <c r="O64" i="7"/>
  <c r="O68" i="9"/>
  <c r="O62" i="9"/>
  <c r="O56" i="9"/>
  <c r="O42" i="9"/>
  <c r="O30" i="9"/>
  <c r="O36" i="23"/>
  <c r="O34" i="23"/>
  <c r="O32" i="23"/>
  <c r="O30" i="23"/>
  <c r="O39" i="25"/>
  <c r="O37" i="25"/>
  <c r="O33" i="25"/>
  <c r="O29" i="25"/>
  <c r="O24" i="27"/>
  <c r="O26" i="27"/>
  <c r="O28" i="27"/>
  <c r="O30" i="27"/>
  <c r="O32" i="27"/>
  <c r="O34" i="27"/>
  <c r="O36" i="27"/>
  <c r="O38" i="27"/>
  <c r="O40" i="27"/>
  <c r="O42" i="27"/>
  <c r="O44" i="27"/>
  <c r="O46" i="27"/>
  <c r="O52" i="27"/>
  <c r="O54" i="27"/>
  <c r="O56" i="27"/>
  <c r="O58" i="27"/>
  <c r="O60" i="27"/>
  <c r="O62" i="27"/>
  <c r="O64" i="27"/>
  <c r="O66" i="27"/>
  <c r="O68" i="27"/>
  <c r="O70" i="27"/>
  <c r="O72" i="27"/>
  <c r="O19" i="37"/>
  <c r="O21" i="37"/>
  <c r="O25" i="37"/>
  <c r="O27" i="37"/>
  <c r="O33" i="37"/>
  <c r="O37" i="37"/>
  <c r="O41" i="37"/>
  <c r="O43" i="37"/>
  <c r="O45" i="37"/>
  <c r="O47" i="37"/>
  <c r="O49" i="37"/>
  <c r="O51" i="37"/>
  <c r="O53" i="37"/>
  <c r="O55" i="37"/>
  <c r="O57" i="37"/>
  <c r="O63" i="37"/>
  <c r="O65" i="37"/>
  <c r="O67" i="37"/>
  <c r="O69" i="37"/>
  <c r="O71" i="37"/>
  <c r="O22" i="38"/>
  <c r="O26" i="38"/>
  <c r="O30" i="38"/>
  <c r="O44" i="38"/>
  <c r="O54" i="38"/>
  <c r="O58" i="38"/>
  <c r="O60" i="38"/>
  <c r="O72" i="38"/>
  <c r="O69" i="41"/>
  <c r="O42" i="3"/>
  <c r="O38" i="3"/>
  <c r="O42" i="5"/>
  <c r="O32" i="5"/>
  <c r="O30" i="5"/>
  <c r="O33" i="7"/>
  <c r="O72" i="11"/>
  <c r="O59" i="10"/>
  <c r="O55" i="10"/>
  <c r="O39" i="10"/>
  <c r="O69" i="22"/>
  <c r="O65" i="22"/>
  <c r="O55" i="22"/>
  <c r="O27" i="22"/>
  <c r="O72" i="23"/>
  <c r="O68" i="23"/>
  <c r="O66" i="23"/>
  <c r="O62" i="23"/>
  <c r="O40" i="23"/>
  <c r="O38" i="23"/>
  <c r="O58" i="25"/>
  <c r="O52" i="25"/>
  <c r="O42" i="25"/>
  <c r="O40" i="25"/>
  <c r="O38" i="25"/>
  <c r="O32" i="25"/>
  <c r="O26" i="25"/>
  <c r="O25" i="30"/>
  <c r="O39" i="30"/>
  <c r="O45" i="30"/>
  <c r="O49" i="30"/>
  <c r="O61" i="30"/>
  <c r="O65" i="30"/>
  <c r="O67" i="30"/>
  <c r="O65" i="40"/>
  <c r="O49" i="45"/>
  <c r="O19" i="43"/>
  <c r="O23" i="43"/>
  <c r="O39" i="43"/>
  <c r="O45" i="43"/>
  <c r="O71" i="43"/>
  <c r="O20" i="42"/>
  <c r="O22" i="42"/>
  <c r="O26" i="42"/>
  <c r="O28" i="42"/>
  <c r="O32" i="42"/>
  <c r="O36" i="42"/>
  <c r="O38" i="42"/>
  <c r="O40" i="42"/>
  <c r="O42" i="42"/>
  <c r="O44" i="42"/>
  <c r="O46" i="42"/>
  <c r="O48" i="42"/>
  <c r="O60" i="42"/>
  <c r="O64" i="42"/>
  <c r="O66" i="42"/>
  <c r="O72" i="42"/>
  <c r="O58" i="42"/>
  <c r="O68" i="42"/>
  <c r="O23" i="42"/>
  <c r="O31" i="42"/>
  <c r="O33" i="42"/>
  <c r="O35" i="42"/>
  <c r="O57" i="42"/>
  <c r="O63" i="42"/>
  <c r="O71" i="42"/>
  <c r="O22" i="41"/>
  <c r="O28" i="41"/>
  <c r="O38" i="41"/>
  <c r="O44" i="41"/>
  <c r="O46" i="41"/>
  <c r="O50" i="41"/>
  <c r="O56" i="41"/>
  <c r="O58" i="41"/>
  <c r="O64" i="41"/>
  <c r="O68" i="41"/>
  <c r="O70" i="41"/>
  <c r="O72" i="41"/>
  <c r="O19" i="40"/>
  <c r="O21" i="40"/>
  <c r="O23" i="40"/>
  <c r="O25" i="40"/>
  <c r="O27" i="40"/>
  <c r="O29" i="40"/>
  <c r="O31" i="40"/>
  <c r="O33" i="40"/>
  <c r="O35" i="40"/>
  <c r="O37" i="40"/>
  <c r="O39" i="40"/>
  <c r="O41" i="40"/>
  <c r="O43" i="40"/>
  <c r="O47" i="40"/>
  <c r="O49" i="40"/>
  <c r="O51" i="40"/>
  <c r="O53" i="40"/>
  <c r="O57" i="40"/>
  <c r="O59" i="40"/>
  <c r="O61" i="40"/>
  <c r="O63" i="40"/>
  <c r="O67" i="40"/>
  <c r="O69" i="40"/>
  <c r="O71" i="40"/>
  <c r="O41" i="30"/>
  <c r="O43" i="30"/>
  <c r="O51" i="30"/>
  <c r="O53" i="30"/>
  <c r="O57" i="30"/>
  <c r="O59" i="30"/>
  <c r="O63" i="30"/>
  <c r="O69" i="30"/>
  <c r="L20" i="30"/>
  <c r="O20" i="30" s="1"/>
  <c r="O69" i="24"/>
  <c r="O59" i="24"/>
  <c r="O49" i="24"/>
  <c r="O41" i="24"/>
  <c r="O72" i="24"/>
  <c r="O70" i="24"/>
  <c r="O64" i="24"/>
  <c r="O62" i="24"/>
  <c r="O60" i="24"/>
  <c r="O54" i="24"/>
  <c r="O52" i="24"/>
  <c r="O50" i="24"/>
  <c r="O46" i="24"/>
  <c r="O44" i="24"/>
  <c r="O42" i="24"/>
  <c r="O40" i="24"/>
  <c r="O38" i="24"/>
  <c r="O36" i="24"/>
  <c r="O34" i="24"/>
  <c r="O30" i="24"/>
  <c r="O28" i="24"/>
  <c r="O26" i="24"/>
  <c r="O24" i="23"/>
  <c r="O72" i="22"/>
  <c r="O70" i="22"/>
  <c r="O68" i="22"/>
  <c r="O66" i="22"/>
  <c r="O64" i="22"/>
  <c r="O62" i="22"/>
  <c r="O54" i="22"/>
  <c r="O44" i="22"/>
  <c r="O42" i="22"/>
  <c r="O40" i="22"/>
  <c r="O38" i="22"/>
  <c r="O36" i="22"/>
  <c r="O30" i="22"/>
  <c r="O70" i="11"/>
  <c r="O64" i="11"/>
  <c r="O62" i="11"/>
  <c r="O60" i="11"/>
  <c r="O58" i="11"/>
  <c r="O56" i="11"/>
  <c r="O54" i="11"/>
  <c r="O50" i="11"/>
  <c r="O40" i="11"/>
  <c r="O38" i="11"/>
  <c r="O36" i="11"/>
  <c r="O30" i="11"/>
  <c r="O71" i="10"/>
  <c r="O69" i="10"/>
  <c r="O47" i="10"/>
  <c r="O45" i="10"/>
  <c r="O37" i="10"/>
  <c r="O31" i="10"/>
  <c r="O71" i="8"/>
  <c r="O63" i="8"/>
  <c r="O57" i="8"/>
  <c r="O53" i="8"/>
  <c r="O51" i="8"/>
  <c r="O49" i="8"/>
  <c r="O44" i="8"/>
  <c r="O40" i="8"/>
  <c r="O64" i="8"/>
  <c r="O43" i="8"/>
  <c r="O29" i="7"/>
  <c r="O40" i="7"/>
  <c r="O70" i="6"/>
  <c r="O26" i="4"/>
  <c r="O72" i="3"/>
  <c r="O58" i="3"/>
  <c r="O48" i="3"/>
  <c r="O36" i="3"/>
  <c r="O69" i="6"/>
  <c r="O55" i="9"/>
  <c r="O64" i="4"/>
  <c r="O62" i="4"/>
  <c r="O60" i="4"/>
  <c r="O58" i="4"/>
  <c r="O56" i="4"/>
  <c r="O54" i="4"/>
  <c r="O52" i="4"/>
  <c r="O50" i="4"/>
  <c r="O48" i="4"/>
  <c r="O46" i="4"/>
  <c r="O42" i="4"/>
  <c r="O40" i="4"/>
  <c r="O38" i="4"/>
  <c r="O36" i="4"/>
  <c r="O34" i="4"/>
  <c r="O30" i="4"/>
  <c r="O67" i="10"/>
  <c r="O65" i="10"/>
  <c r="O63" i="10"/>
  <c r="O61" i="10"/>
  <c r="O53" i="10"/>
  <c r="O49" i="10"/>
  <c r="O61" i="11"/>
  <c r="O51" i="11"/>
  <c r="O49" i="11"/>
  <c r="O41" i="11"/>
  <c r="O39" i="11"/>
  <c r="O33" i="11"/>
  <c r="O70" i="13"/>
  <c r="O68" i="13"/>
  <c r="O66" i="13"/>
  <c r="O64" i="13"/>
  <c r="O60" i="13"/>
  <c r="O58" i="13"/>
  <c r="O56" i="13"/>
  <c r="O52" i="13"/>
  <c r="O48" i="13"/>
  <c r="O42" i="13"/>
  <c r="O36" i="13"/>
  <c r="O34" i="13"/>
  <c r="O28" i="13"/>
  <c r="O26" i="13"/>
  <c r="O22" i="13"/>
  <c r="O20" i="13"/>
  <c r="O19" i="42"/>
  <c r="O71" i="3"/>
  <c r="O69" i="3"/>
  <c r="O67" i="3"/>
  <c r="O61" i="3"/>
  <c r="O57" i="3"/>
  <c r="O55" i="3"/>
  <c r="O53" i="3"/>
  <c r="O51" i="3"/>
  <c r="O47" i="3"/>
  <c r="O43" i="3"/>
  <c r="O41" i="3"/>
  <c r="O39" i="3"/>
  <c r="O37" i="3"/>
  <c r="O33" i="28"/>
  <c r="O63" i="28"/>
  <c r="O24" i="29"/>
  <c r="O42" i="29"/>
  <c r="O46" i="29"/>
  <c r="O48" i="29"/>
  <c r="O54" i="29"/>
  <c r="O58" i="29"/>
  <c r="O60" i="29"/>
  <c r="O62" i="29"/>
  <c r="O66" i="29"/>
  <c r="O70" i="29"/>
  <c r="O21" i="30"/>
  <c r="O29" i="30"/>
  <c r="O31" i="30"/>
  <c r="O33" i="30"/>
  <c r="O35" i="30"/>
  <c r="O37" i="30"/>
  <c r="O47" i="45"/>
  <c r="O68" i="6"/>
  <c r="O66" i="6"/>
  <c r="O36" i="28"/>
  <c r="O40" i="28"/>
  <c r="O24" i="30"/>
  <c r="O32" i="30"/>
  <c r="O40" i="30"/>
  <c r="O42" i="30"/>
  <c r="O50" i="30"/>
  <c r="O54" i="30"/>
  <c r="O56" i="30"/>
  <c r="O60" i="30"/>
  <c r="O62" i="30"/>
  <c r="O64" i="30"/>
  <c r="O66" i="30"/>
  <c r="O70" i="30"/>
  <c r="O22" i="31"/>
  <c r="O24" i="31"/>
  <c r="O26" i="31"/>
  <c r="O30" i="31"/>
  <c r="O42" i="31"/>
  <c r="O44" i="31"/>
  <c r="O48" i="31"/>
  <c r="O50" i="31"/>
  <c r="O54" i="31"/>
  <c r="O64" i="31"/>
  <c r="O66" i="31"/>
  <c r="O68" i="31"/>
  <c r="O21" i="43"/>
  <c r="O29" i="43"/>
  <c r="O31" i="43"/>
  <c r="O37" i="43"/>
  <c r="O47" i="43"/>
  <c r="O53" i="43"/>
  <c r="O55" i="43"/>
  <c r="O61" i="43"/>
  <c r="O63" i="43"/>
  <c r="O69" i="43"/>
  <c r="O20" i="44"/>
  <c r="O43" i="6"/>
  <c r="C10" i="1"/>
  <c r="C28" i="1"/>
  <c r="C61" i="1"/>
  <c r="C79" i="1"/>
  <c r="C73" i="1"/>
  <c r="C55" i="1"/>
  <c r="C8" i="1"/>
  <c r="C62" i="1"/>
  <c r="F14" i="1"/>
  <c r="E19" i="1" s="1"/>
  <c r="F19" i="1" s="1"/>
  <c r="C82" i="1"/>
  <c r="C76" i="1"/>
  <c r="C39" i="1"/>
  <c r="C50" i="1"/>
  <c r="C22" i="1"/>
  <c r="C56" i="1"/>
  <c r="C14" i="1"/>
  <c r="O24" i="28"/>
  <c r="O26" i="28"/>
  <c r="O28" i="28"/>
  <c r="O30" i="28"/>
  <c r="O34" i="28"/>
  <c r="O38" i="28"/>
  <c r="O42" i="28"/>
  <c r="O52" i="28"/>
  <c r="O54" i="28"/>
  <c r="O58" i="28"/>
  <c r="O60" i="28"/>
  <c r="O62" i="28"/>
  <c r="O64" i="28"/>
  <c r="O66" i="28"/>
  <c r="O68" i="28"/>
  <c r="O70" i="28"/>
  <c r="O23" i="29"/>
  <c r="O33" i="29"/>
  <c r="O35" i="29"/>
  <c r="O37" i="29"/>
  <c r="O39" i="29"/>
  <c r="O41" i="29"/>
  <c r="O43" i="29"/>
  <c r="O45" i="29"/>
  <c r="O47" i="29"/>
  <c r="O49" i="29"/>
  <c r="O53" i="29"/>
  <c r="O57" i="29"/>
  <c r="O59" i="29"/>
  <c r="O61" i="29"/>
  <c r="O63" i="29"/>
  <c r="O65" i="29"/>
  <c r="O30" i="30"/>
  <c r="O68" i="30"/>
  <c r="O28" i="31"/>
  <c r="O32" i="31"/>
  <c r="O36" i="31"/>
  <c r="O56" i="31"/>
  <c r="O60" i="31"/>
  <c r="O62" i="31"/>
  <c r="O70" i="31"/>
  <c r="O28" i="38"/>
  <c r="O32" i="38"/>
  <c r="O34" i="38"/>
  <c r="O40" i="38"/>
  <c r="O52" i="39"/>
  <c r="O68" i="39"/>
  <c r="O70" i="39"/>
  <c r="O41" i="43"/>
  <c r="O49" i="43"/>
  <c r="O51" i="43"/>
  <c r="O34" i="44"/>
  <c r="O62" i="44"/>
  <c r="O68" i="44"/>
  <c r="O72" i="44"/>
  <c r="O28" i="45"/>
  <c r="O44" i="45"/>
  <c r="O58" i="45"/>
  <c r="O60" i="45"/>
  <c r="O72" i="45"/>
  <c r="P153" i="4"/>
  <c r="P131" i="4"/>
  <c r="P121" i="4"/>
  <c r="P119" i="4"/>
  <c r="P117" i="4"/>
  <c r="P111" i="4"/>
  <c r="P114" i="5"/>
  <c r="O31" i="5"/>
  <c r="O72" i="6"/>
  <c r="O18" i="13"/>
  <c r="F17" i="13"/>
  <c r="O63" i="27"/>
  <c r="O65" i="4"/>
  <c r="O63" i="4"/>
  <c r="O61" i="4"/>
  <c r="O59" i="4"/>
  <c r="O57" i="4"/>
  <c r="O53" i="4"/>
  <c r="O51" i="4"/>
  <c r="O64" i="6"/>
  <c r="O56" i="6"/>
  <c r="O54" i="6"/>
  <c r="O52" i="6"/>
  <c r="O50" i="6"/>
  <c r="O48" i="6"/>
  <c r="O46" i="6"/>
  <c r="O68" i="7"/>
  <c r="O54" i="7"/>
  <c r="O52" i="7"/>
  <c r="O50" i="7"/>
  <c r="O46" i="7"/>
  <c r="O44" i="7"/>
  <c r="O42" i="7"/>
  <c r="O38" i="7"/>
  <c r="O36" i="7"/>
  <c r="O69" i="8"/>
  <c r="O65" i="8"/>
  <c r="O61" i="8"/>
  <c r="O59" i="8"/>
  <c r="O55" i="8"/>
  <c r="O38" i="8"/>
  <c r="O36" i="8"/>
  <c r="O34" i="8"/>
  <c r="O32" i="8"/>
  <c r="O30" i="8"/>
  <c r="O70" i="9"/>
  <c r="O66" i="9"/>
  <c r="O64" i="9"/>
  <c r="O60" i="9"/>
  <c r="O52" i="9"/>
  <c r="O46" i="9"/>
  <c r="O44" i="9"/>
  <c r="O40" i="9"/>
  <c r="O36" i="9"/>
  <c r="O34" i="9"/>
  <c r="O32" i="9"/>
  <c r="O49" i="31"/>
  <c r="O53" i="31"/>
  <c r="O57" i="31"/>
  <c r="O61" i="31"/>
  <c r="O63" i="31"/>
  <c r="O65" i="31"/>
  <c r="O23" i="38"/>
  <c r="O23" i="39"/>
  <c r="O33" i="39"/>
  <c r="O37" i="39"/>
  <c r="O39" i="39"/>
  <c r="O43" i="39"/>
  <c r="O53" i="39"/>
  <c r="O57" i="39"/>
  <c r="O59" i="39"/>
  <c r="O61" i="39"/>
  <c r="O63" i="39"/>
  <c r="O69" i="39"/>
  <c r="O71" i="39"/>
  <c r="P121" i="41"/>
  <c r="P125" i="42"/>
  <c r="O53" i="44"/>
  <c r="O25" i="45"/>
  <c r="O55" i="46"/>
  <c r="O59" i="46"/>
  <c r="O26" i="41"/>
  <c r="O30" i="41"/>
  <c r="O40" i="41"/>
  <c r="O48" i="41"/>
  <c r="O50" i="42"/>
  <c r="O56" i="24"/>
  <c r="O61" i="25"/>
  <c r="O35" i="45"/>
  <c r="O37" i="45"/>
  <c r="O32" i="4"/>
  <c r="O28" i="4"/>
  <c r="O22" i="40"/>
  <c r="O44" i="44"/>
  <c r="O35" i="3"/>
  <c r="O33" i="3"/>
  <c r="O29" i="3"/>
  <c r="O52" i="3"/>
  <c r="O33" i="10"/>
  <c r="O51" i="22"/>
  <c r="O46" i="38"/>
  <c r="O50" i="38"/>
  <c r="O62" i="38"/>
  <c r="O68" i="38"/>
  <c r="O70" i="38"/>
  <c r="O23" i="41"/>
  <c r="O25" i="42"/>
  <c r="O39" i="42"/>
  <c r="O65" i="42"/>
  <c r="O67" i="42"/>
  <c r="O18" i="46"/>
  <c r="O39" i="4"/>
  <c r="O33" i="8"/>
  <c r="O72" i="37"/>
  <c r="O62" i="43"/>
  <c r="O37" i="44"/>
  <c r="O61" i="44"/>
  <c r="O19" i="45"/>
  <c r="O21" i="45"/>
  <c r="O62" i="45"/>
  <c r="O38" i="46"/>
  <c r="O56" i="46"/>
  <c r="O63" i="3"/>
  <c r="O70" i="4"/>
  <c r="O66" i="4"/>
  <c r="O50" i="10"/>
  <c r="O55" i="13"/>
  <c r="O53" i="13"/>
  <c r="O51" i="13"/>
  <c r="O49" i="13"/>
  <c r="O47" i="13"/>
  <c r="O33" i="13"/>
  <c r="O31" i="13"/>
  <c r="O39" i="24"/>
  <c r="O45" i="38"/>
  <c r="O53" i="38"/>
  <c r="O68" i="46"/>
  <c r="O27" i="29"/>
  <c r="O49" i="39"/>
  <c r="O43" i="43"/>
  <c r="O48" i="44"/>
  <c r="O54" i="44"/>
  <c r="O29" i="46"/>
  <c r="O72" i="46"/>
  <c r="D93" i="10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C110" i="10" s="1"/>
  <c r="C111" i="10" s="1"/>
  <c r="C112" i="10" s="1"/>
  <c r="C113" i="10" s="1"/>
  <c r="C114" i="10" s="1"/>
  <c r="C115" i="10" s="1"/>
  <c r="C116" i="10" s="1"/>
  <c r="C117" i="10" s="1"/>
  <c r="C118" i="10" s="1"/>
  <c r="C119" i="10" s="1"/>
  <c r="C120" i="10" s="1"/>
  <c r="C121" i="10" s="1"/>
  <c r="C122" i="10" s="1"/>
  <c r="C123" i="10" s="1"/>
  <c r="C124" i="10" s="1"/>
  <c r="C125" i="10" s="1"/>
  <c r="C126" i="10" s="1"/>
  <c r="C127" i="10" s="1"/>
  <c r="C128" i="10" s="1"/>
  <c r="C129" i="10" s="1"/>
  <c r="C130" i="10" s="1"/>
  <c r="C131" i="10" s="1"/>
  <c r="C132" i="10" s="1"/>
  <c r="C133" i="10" s="1"/>
  <c r="C134" i="10" s="1"/>
  <c r="C135" i="10" s="1"/>
  <c r="C136" i="10" s="1"/>
  <c r="C137" i="10" s="1"/>
  <c r="C138" i="10" s="1"/>
  <c r="C139" i="10" s="1"/>
  <c r="C140" i="10" s="1"/>
  <c r="C141" i="10" s="1"/>
  <c r="C142" i="10" s="1"/>
  <c r="C143" i="10" s="1"/>
  <c r="C144" i="10" s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s="1"/>
  <c r="O67" i="4"/>
  <c r="O72" i="7"/>
  <c r="O70" i="7"/>
  <c r="O41" i="8"/>
  <c r="O37" i="8"/>
  <c r="O53" i="22"/>
  <c r="O38" i="31"/>
  <c r="O27" i="38"/>
  <c r="O52" i="38"/>
  <c r="O53" i="46"/>
  <c r="J96" i="13"/>
  <c r="F48" i="1"/>
  <c r="F52" i="1" s="1"/>
  <c r="O30" i="3"/>
  <c r="O36" i="5"/>
  <c r="O34" i="7"/>
  <c r="O59" i="11"/>
  <c r="O35" i="22"/>
  <c r="O53" i="23"/>
  <c r="O51" i="23"/>
  <c r="O45" i="23"/>
  <c r="O29" i="23"/>
  <c r="O51" i="24"/>
  <c r="O48" i="24"/>
  <c r="O32" i="24"/>
  <c r="O69" i="25"/>
  <c r="O37" i="28"/>
  <c r="O41" i="28"/>
  <c r="O55" i="28"/>
  <c r="O29" i="29"/>
  <c r="O31" i="29"/>
  <c r="O43" i="38"/>
  <c r="O22" i="39"/>
  <c r="O28" i="39"/>
  <c r="O30" i="39"/>
  <c r="O36" i="39"/>
  <c r="O24" i="41"/>
  <c r="O54" i="42"/>
  <c r="O36" i="44"/>
  <c r="O56" i="44"/>
  <c r="O58" i="44"/>
  <c r="O23" i="45"/>
  <c r="O27" i="45"/>
  <c r="O29" i="45"/>
  <c r="O36" i="45"/>
  <c r="O52" i="45"/>
  <c r="O63" i="45"/>
  <c r="O19" i="46"/>
  <c r="O42" i="46"/>
  <c r="O44" i="46"/>
  <c r="O52" i="46"/>
  <c r="O60" i="46"/>
  <c r="O64" i="46"/>
  <c r="O70" i="46"/>
  <c r="O56" i="3"/>
  <c r="O31" i="3"/>
  <c r="O72" i="4"/>
  <c r="O68" i="4"/>
  <c r="O47" i="4"/>
  <c r="O43" i="4"/>
  <c r="O41" i="4"/>
  <c r="O37" i="4"/>
  <c r="O33" i="4"/>
  <c r="O41" i="5"/>
  <c r="O39" i="5"/>
  <c r="O71" i="7"/>
  <c r="O68" i="10"/>
  <c r="O40" i="13"/>
  <c r="O38" i="13"/>
  <c r="O60" i="22"/>
  <c r="O58" i="22"/>
  <c r="O56" i="22"/>
  <c r="O52" i="22"/>
  <c r="O50" i="22"/>
  <c r="O48" i="22"/>
  <c r="O46" i="22"/>
  <c r="O34" i="22"/>
  <c r="O32" i="22"/>
  <c r="O47" i="38"/>
  <c r="O19" i="41"/>
  <c r="O34" i="41"/>
  <c r="O36" i="41"/>
  <c r="O52" i="41"/>
  <c r="O17" i="43"/>
  <c r="O25" i="43"/>
  <c r="O27" i="43"/>
  <c r="O35" i="43"/>
  <c r="O19" i="44"/>
  <c r="O21" i="44"/>
  <c r="O66" i="46"/>
  <c r="O33" i="5"/>
  <c r="O63" i="6"/>
  <c r="O42" i="8"/>
  <c r="O48" i="11"/>
  <c r="O44" i="11"/>
  <c r="O43" i="13"/>
  <c r="O29" i="13"/>
  <c r="O31" i="24"/>
  <c r="O29" i="24"/>
  <c r="O70" i="25"/>
  <c r="O66" i="25"/>
  <c r="O41" i="27"/>
  <c r="O32" i="28"/>
  <c r="O44" i="28"/>
  <c r="O46" i="28"/>
  <c r="O48" i="28"/>
  <c r="O25" i="29"/>
  <c r="O22" i="30"/>
  <c r="O28" i="30"/>
  <c r="O21" i="39"/>
  <c r="O42" i="39"/>
  <c r="O46" i="39"/>
  <c r="O50" i="39"/>
  <c r="O62" i="39"/>
  <c r="O18" i="41"/>
  <c r="O20" i="41"/>
  <c r="O37" i="41"/>
  <c r="O51" i="41"/>
  <c r="O53" i="41"/>
  <c r="O24" i="42"/>
  <c r="O34" i="42"/>
  <c r="O34" i="43"/>
  <c r="O22" i="44"/>
  <c r="O30" i="44"/>
  <c r="O20" i="45"/>
  <c r="O39" i="45"/>
  <c r="O43" i="45"/>
  <c r="O45" i="45"/>
  <c r="O57" i="45"/>
  <c r="O64" i="45"/>
  <c r="O66" i="45"/>
  <c r="O68" i="45"/>
  <c r="O70" i="45"/>
  <c r="O20" i="46"/>
  <c r="O24" i="46"/>
  <c r="O45" i="46"/>
  <c r="O47" i="46"/>
  <c r="O61" i="46"/>
  <c r="O67" i="46"/>
  <c r="O35" i="8"/>
  <c r="O54" i="3"/>
  <c r="O47" i="5"/>
  <c r="D94" i="37"/>
  <c r="D92" i="37"/>
  <c r="B100" i="37" s="1"/>
  <c r="O70" i="3"/>
  <c r="O44" i="3"/>
  <c r="O40" i="3"/>
  <c r="O32" i="3"/>
  <c r="O45" i="4"/>
  <c r="O35" i="4"/>
  <c r="O46" i="5"/>
  <c r="O35" i="5"/>
  <c r="O62" i="6"/>
  <c r="O60" i="6"/>
  <c r="O58" i="6"/>
  <c r="O66" i="7"/>
  <c r="O62" i="7"/>
  <c r="O60" i="7"/>
  <c r="O58" i="7"/>
  <c r="O56" i="7"/>
  <c r="O43" i="7"/>
  <c r="O67" i="8"/>
  <c r="O47" i="8"/>
  <c r="O72" i="9"/>
  <c r="O50" i="9"/>
  <c r="O48" i="9"/>
  <c r="O57" i="10"/>
  <c r="O51" i="10"/>
  <c r="O41" i="10"/>
  <c r="O71" i="11"/>
  <c r="O65" i="11"/>
  <c r="O52" i="11"/>
  <c r="O47" i="11"/>
  <c r="O45" i="11"/>
  <c r="O43" i="11"/>
  <c r="O34" i="11"/>
  <c r="O32" i="11"/>
  <c r="O44" i="13"/>
  <c r="O39" i="13"/>
  <c r="O37" i="13"/>
  <c r="O32" i="13"/>
  <c r="O30" i="13"/>
  <c r="O27" i="13"/>
  <c r="O67" i="23"/>
  <c r="O56" i="23"/>
  <c r="O28" i="23"/>
  <c r="O59" i="25"/>
  <c r="O35" i="27"/>
  <c r="O50" i="27"/>
  <c r="O71" i="27"/>
  <c r="O30" i="29"/>
  <c r="O32" i="29"/>
  <c r="O34" i="31"/>
  <c r="O40" i="31"/>
  <c r="O35" i="37"/>
  <c r="O64" i="37"/>
  <c r="O51" i="38"/>
  <c r="O27" i="39"/>
  <c r="O70" i="42"/>
  <c r="O46" i="43"/>
  <c r="O21" i="46"/>
  <c r="O43" i="10"/>
  <c r="O61" i="22"/>
  <c r="O49" i="22"/>
  <c r="O28" i="22"/>
  <c r="O48" i="23"/>
  <c r="O41" i="25"/>
  <c r="O35" i="25"/>
  <c r="O31" i="25"/>
  <c r="O27" i="25"/>
  <c r="O43" i="28"/>
  <c r="O51" i="28"/>
  <c r="O22" i="29"/>
  <c r="O59" i="37"/>
  <c r="O65" i="3"/>
  <c r="O28" i="3"/>
  <c r="O69" i="4"/>
  <c r="O31" i="4"/>
  <c r="O29" i="4"/>
  <c r="O45" i="5"/>
  <c r="O43" i="5"/>
  <c r="O34" i="5"/>
  <c r="O61" i="6"/>
  <c r="O59" i="6"/>
  <c r="O41" i="6"/>
  <c r="O37" i="6"/>
  <c r="O29" i="6"/>
  <c r="O63" i="7"/>
  <c r="O61" i="7"/>
  <c r="O46" i="8"/>
  <c r="O45" i="8"/>
  <c r="O31" i="8"/>
  <c r="O29" i="8"/>
  <c r="O71" i="9"/>
  <c r="O69" i="9"/>
  <c r="O54" i="9"/>
  <c r="O54" i="10"/>
  <c r="O44" i="10"/>
  <c r="O42" i="10"/>
  <c r="O34" i="10"/>
  <c r="O68" i="11"/>
  <c r="O55" i="11"/>
  <c r="O42" i="11"/>
  <c r="O31" i="11"/>
  <c r="O72" i="13"/>
  <c r="O24" i="13"/>
  <c r="O33" i="22"/>
  <c r="O66" i="24"/>
  <c r="O57" i="24"/>
  <c r="O22" i="28"/>
  <c r="O50" i="28"/>
  <c r="O56" i="28"/>
  <c r="O28" i="29"/>
  <c r="O26" i="30"/>
  <c r="O55" i="30"/>
  <c r="O33" i="38"/>
  <c r="O55" i="44"/>
  <c r="O47" i="39"/>
  <c r="O54" i="39"/>
  <c r="O20" i="40"/>
  <c r="O55" i="40"/>
  <c r="O49" i="41"/>
  <c r="O30" i="42"/>
  <c r="O41" i="42"/>
  <c r="O47" i="42"/>
  <c r="O57" i="43"/>
  <c r="O59" i="43"/>
  <c r="O65" i="43"/>
  <c r="O67" i="43"/>
  <c r="O23" i="44"/>
  <c r="O27" i="44"/>
  <c r="O31" i="44"/>
  <c r="O38" i="44"/>
  <c r="O40" i="44"/>
  <c r="O42" i="44"/>
  <c r="O46" i="44"/>
  <c r="O66" i="44"/>
  <c r="O17" i="45"/>
  <c r="O22" i="45"/>
  <c r="O30" i="45"/>
  <c r="O38" i="45"/>
  <c r="O46" i="45"/>
  <c r="O53" i="45"/>
  <c r="O36" i="46"/>
  <c r="O50" i="46"/>
  <c r="O38" i="29"/>
  <c r="O44" i="29"/>
  <c r="O55" i="29"/>
  <c r="O68" i="29"/>
  <c r="O72" i="29"/>
  <c r="O34" i="30"/>
  <c r="O36" i="30"/>
  <c r="O38" i="30"/>
  <c r="O44" i="30"/>
  <c r="O46" i="30"/>
  <c r="O48" i="30"/>
  <c r="O71" i="30"/>
  <c r="O29" i="31"/>
  <c r="O46" i="31"/>
  <c r="O58" i="31"/>
  <c r="O29" i="37"/>
  <c r="O31" i="37"/>
  <c r="O44" i="37"/>
  <c r="O46" i="37"/>
  <c r="O48" i="37"/>
  <c r="O61" i="37"/>
  <c r="O24" i="38"/>
  <c r="O41" i="38"/>
  <c r="O48" i="38"/>
  <c r="O55" i="38"/>
  <c r="O64" i="38"/>
  <c r="O66" i="38"/>
  <c r="O29" i="39"/>
  <c r="O66" i="39"/>
  <c r="O60" i="41"/>
  <c r="O69" i="42"/>
  <c r="O24" i="43"/>
  <c r="O30" i="43"/>
  <c r="O50" i="43"/>
  <c r="O35" i="44"/>
  <c r="O59" i="44"/>
  <c r="O70" i="44"/>
  <c r="O24" i="45"/>
  <c r="O32" i="45"/>
  <c r="O40" i="45"/>
  <c r="O48" i="45"/>
  <c r="O50" i="45"/>
  <c r="O69" i="45"/>
  <c r="O27" i="46"/>
  <c r="O40" i="46"/>
  <c r="O27" i="30"/>
  <c r="O72" i="30"/>
  <c r="O25" i="38"/>
  <c r="O36" i="38"/>
  <c r="O42" i="38"/>
  <c r="O49" i="38"/>
  <c r="O56" i="38"/>
  <c r="O65" i="39"/>
  <c r="O48" i="40"/>
  <c r="O32" i="41"/>
  <c r="O39" i="41"/>
  <c r="O41" i="41"/>
  <c r="O43" i="41"/>
  <c r="O27" i="42"/>
  <c r="O52" i="42"/>
  <c r="O56" i="42"/>
  <c r="O62" i="42"/>
  <c r="O42" i="43"/>
  <c r="O58" i="43"/>
  <c r="O66" i="43"/>
  <c r="O17" i="44"/>
  <c r="O24" i="44"/>
  <c r="O26" i="44"/>
  <c r="O32" i="44"/>
  <c r="O39" i="44"/>
  <c r="O43" i="44"/>
  <c r="O45" i="44"/>
  <c r="O47" i="44"/>
  <c r="O51" i="44"/>
  <c r="O63" i="44"/>
  <c r="O71" i="44"/>
  <c r="O26" i="45"/>
  <c r="O34" i="45"/>
  <c r="O42" i="45"/>
  <c r="O54" i="45"/>
  <c r="O56" i="45"/>
  <c r="O48" i="46"/>
  <c r="O63" i="46"/>
  <c r="C105" i="37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99" i="38"/>
  <c r="D94" i="39"/>
  <c r="C100" i="30"/>
  <c r="C101" i="30" s="1"/>
  <c r="C102" i="30" s="1"/>
  <c r="C103" i="30" s="1"/>
  <c r="C104" i="30" s="1"/>
  <c r="C105" i="30" s="1"/>
  <c r="C106" i="30" s="1"/>
  <c r="C107" i="30" s="1"/>
  <c r="C108" i="30" s="1"/>
  <c r="C109" i="30" s="1"/>
  <c r="C110" i="30" s="1"/>
  <c r="C111" i="30" s="1"/>
  <c r="C112" i="30" s="1"/>
  <c r="C113" i="30" s="1"/>
  <c r="C114" i="30" s="1"/>
  <c r="C115" i="30" s="1"/>
  <c r="C116" i="30" s="1"/>
  <c r="C117" i="30" s="1"/>
  <c r="C118" i="30" s="1"/>
  <c r="C119" i="30" s="1"/>
  <c r="C120" i="30" s="1"/>
  <c r="C121" i="30" s="1"/>
  <c r="C122" i="30" s="1"/>
  <c r="C123" i="30" s="1"/>
  <c r="C124" i="30" s="1"/>
  <c r="C125" i="30" s="1"/>
  <c r="C126" i="30" s="1"/>
  <c r="C127" i="30" s="1"/>
  <c r="C128" i="30" s="1"/>
  <c r="C129" i="30" s="1"/>
  <c r="C130" i="30" s="1"/>
  <c r="C131" i="30" s="1"/>
  <c r="C132" i="30" s="1"/>
  <c r="C133" i="30" s="1"/>
  <c r="C134" i="30" s="1"/>
  <c r="C135" i="30" s="1"/>
  <c r="C136" i="30" s="1"/>
  <c r="C137" i="30" s="1"/>
  <c r="C138" i="30" s="1"/>
  <c r="C139" i="30" s="1"/>
  <c r="C140" i="30" s="1"/>
  <c r="C141" i="30" s="1"/>
  <c r="C142" i="30" s="1"/>
  <c r="C143" i="30" s="1"/>
  <c r="C144" i="30" s="1"/>
  <c r="C145" i="30" s="1"/>
  <c r="C146" i="30" s="1"/>
  <c r="C147" i="30" s="1"/>
  <c r="C148" i="30" s="1"/>
  <c r="C149" i="30" s="1"/>
  <c r="C150" i="30" s="1"/>
  <c r="C151" i="30" s="1"/>
  <c r="C152" i="30" s="1"/>
  <c r="C153" i="30" s="1"/>
  <c r="C154" i="30" s="1"/>
  <c r="D94" i="30"/>
  <c r="D93" i="22"/>
  <c r="D93" i="31"/>
  <c r="C99" i="31" s="1"/>
  <c r="C100" i="31" s="1"/>
  <c r="C101" i="31" s="1"/>
  <c r="C102" i="31" s="1"/>
  <c r="C103" i="31" s="1"/>
  <c r="C104" i="31" s="1"/>
  <c r="C105" i="31" s="1"/>
  <c r="C106" i="31" s="1"/>
  <c r="C107" i="31" s="1"/>
  <c r="C108" i="31" s="1"/>
  <c r="C109" i="31" s="1"/>
  <c r="C110" i="31" s="1"/>
  <c r="C111" i="31" s="1"/>
  <c r="C112" i="31" s="1"/>
  <c r="C113" i="31" s="1"/>
  <c r="C114" i="31" s="1"/>
  <c r="C115" i="31" s="1"/>
  <c r="C116" i="31" s="1"/>
  <c r="C117" i="31" s="1"/>
  <c r="C118" i="31" s="1"/>
  <c r="C119" i="31" s="1"/>
  <c r="C120" i="31" s="1"/>
  <c r="C121" i="31" s="1"/>
  <c r="C122" i="31" s="1"/>
  <c r="C123" i="31" s="1"/>
  <c r="C124" i="31" s="1"/>
  <c r="C125" i="31" s="1"/>
  <c r="C126" i="31" s="1"/>
  <c r="C127" i="31" s="1"/>
  <c r="C128" i="31" s="1"/>
  <c r="C129" i="31" s="1"/>
  <c r="C130" i="31" s="1"/>
  <c r="C131" i="31" s="1"/>
  <c r="C132" i="31" s="1"/>
  <c r="C133" i="31" s="1"/>
  <c r="C134" i="31" s="1"/>
  <c r="C135" i="31" s="1"/>
  <c r="C136" i="31" s="1"/>
  <c r="C137" i="31" s="1"/>
  <c r="C138" i="31" s="1"/>
  <c r="C139" i="31" s="1"/>
  <c r="C140" i="31" s="1"/>
  <c r="C141" i="31" s="1"/>
  <c r="C142" i="31" s="1"/>
  <c r="C143" i="31" s="1"/>
  <c r="C144" i="31" s="1"/>
  <c r="C145" i="31" s="1"/>
  <c r="C146" i="31" s="1"/>
  <c r="C147" i="31" s="1"/>
  <c r="C148" i="31" s="1"/>
  <c r="C149" i="31" s="1"/>
  <c r="C150" i="31" s="1"/>
  <c r="C151" i="31" s="1"/>
  <c r="C152" i="31" s="1"/>
  <c r="C153" i="31" s="1"/>
  <c r="C154" i="31" s="1"/>
  <c r="C99" i="5"/>
  <c r="C100" i="5" s="1"/>
  <c r="C101" i="5" s="1"/>
  <c r="C102" i="5" s="1"/>
  <c r="C103" i="5" s="1"/>
  <c r="C104" i="5" s="1"/>
  <c r="C105" i="5" s="1"/>
  <c r="C106" i="5" s="1"/>
  <c r="C107" i="5" s="1"/>
  <c r="C108" i="5" s="1"/>
  <c r="C109" i="5" s="1"/>
  <c r="C110" i="5" s="1"/>
  <c r="C111" i="5" s="1"/>
  <c r="C112" i="5" s="1"/>
  <c r="C113" i="5" s="1"/>
  <c r="C114" i="5" s="1"/>
  <c r="C115" i="5" s="1"/>
  <c r="C116" i="5" s="1"/>
  <c r="C117" i="5" s="1"/>
  <c r="C118" i="5" s="1"/>
  <c r="C119" i="5" s="1"/>
  <c r="C120" i="5" s="1"/>
  <c r="C121" i="5" s="1"/>
  <c r="C122" i="5" s="1"/>
  <c r="C123" i="5" s="1"/>
  <c r="C124" i="5" s="1"/>
  <c r="C125" i="5" s="1"/>
  <c r="C126" i="5" s="1"/>
  <c r="C127" i="5" s="1"/>
  <c r="C128" i="5" s="1"/>
  <c r="C129" i="5" s="1"/>
  <c r="C130" i="5" s="1"/>
  <c r="C131" i="5" s="1"/>
  <c r="C132" i="5" s="1"/>
  <c r="C133" i="5" s="1"/>
  <c r="C134" i="5" s="1"/>
  <c r="C135" i="5" s="1"/>
  <c r="C136" i="5" s="1"/>
  <c r="C137" i="5" s="1"/>
  <c r="C138" i="5" s="1"/>
  <c r="C139" i="5" s="1"/>
  <c r="C140" i="5" s="1"/>
  <c r="C141" i="5" s="1"/>
  <c r="C142" i="5" s="1"/>
  <c r="C143" i="5" s="1"/>
  <c r="C144" i="5" s="1"/>
  <c r="C145" i="5" s="1"/>
  <c r="C146" i="5" s="1"/>
  <c r="C147" i="5" s="1"/>
  <c r="C148" i="5" s="1"/>
  <c r="C149" i="5" s="1"/>
  <c r="C150" i="5" s="1"/>
  <c r="C151" i="5" s="1"/>
  <c r="C152" i="5" s="1"/>
  <c r="C153" i="5" s="1"/>
  <c r="C154" i="5" s="1"/>
  <c r="C99" i="23"/>
  <c r="C100" i="23" s="1"/>
  <c r="C101" i="23" s="1"/>
  <c r="C102" i="23" s="1"/>
  <c r="C103" i="23" s="1"/>
  <c r="C104" i="23" s="1"/>
  <c r="C105" i="23" s="1"/>
  <c r="C106" i="23" s="1"/>
  <c r="C107" i="23" s="1"/>
  <c r="C108" i="23" s="1"/>
  <c r="C109" i="23" s="1"/>
  <c r="C110" i="23" s="1"/>
  <c r="C111" i="23" s="1"/>
  <c r="C112" i="23" s="1"/>
  <c r="C113" i="23" s="1"/>
  <c r="C114" i="23" s="1"/>
  <c r="C115" i="23" s="1"/>
  <c r="C116" i="23" s="1"/>
  <c r="C117" i="23" s="1"/>
  <c r="C118" i="23" s="1"/>
  <c r="C119" i="23" s="1"/>
  <c r="C120" i="23" s="1"/>
  <c r="C121" i="23" s="1"/>
  <c r="C122" i="23" s="1"/>
  <c r="C123" i="23" s="1"/>
  <c r="C124" i="23" s="1"/>
  <c r="C125" i="23" s="1"/>
  <c r="C126" i="23" s="1"/>
  <c r="C127" i="23" s="1"/>
  <c r="C128" i="23" s="1"/>
  <c r="C129" i="23" s="1"/>
  <c r="C130" i="23" s="1"/>
  <c r="C131" i="23" s="1"/>
  <c r="C132" i="23" s="1"/>
  <c r="C133" i="23" s="1"/>
  <c r="C134" i="23" s="1"/>
  <c r="C135" i="23" s="1"/>
  <c r="C136" i="23" s="1"/>
  <c r="C137" i="23" s="1"/>
  <c r="C138" i="23" s="1"/>
  <c r="C139" i="23" s="1"/>
  <c r="C140" i="23" s="1"/>
  <c r="C141" i="23" s="1"/>
  <c r="C142" i="23" s="1"/>
  <c r="C143" i="23" s="1"/>
  <c r="C144" i="23" s="1"/>
  <c r="C145" i="23" s="1"/>
  <c r="C146" i="23" s="1"/>
  <c r="C147" i="23" s="1"/>
  <c r="C148" i="23" s="1"/>
  <c r="C149" i="23" s="1"/>
  <c r="C150" i="23" s="1"/>
  <c r="C151" i="23" s="1"/>
  <c r="C152" i="23" s="1"/>
  <c r="C153" i="23" s="1"/>
  <c r="C154" i="23" s="1"/>
  <c r="D100" i="13"/>
  <c r="B100" i="13" s="1"/>
  <c r="P130" i="31"/>
  <c r="P104" i="41"/>
  <c r="P120" i="11"/>
  <c r="P104" i="28"/>
  <c r="P116" i="28"/>
  <c r="P126" i="28"/>
  <c r="P126" i="31"/>
  <c r="P102" i="39"/>
  <c r="P104" i="39"/>
  <c r="P106" i="39"/>
  <c r="P114" i="39"/>
  <c r="P120" i="39"/>
  <c r="P124" i="39"/>
  <c r="P126" i="39"/>
  <c r="P128" i="39"/>
  <c r="P130" i="39"/>
  <c r="P100" i="40"/>
  <c r="P102" i="40"/>
  <c r="P106" i="40"/>
  <c r="P128" i="40"/>
  <c r="P110" i="41"/>
  <c r="P112" i="41"/>
  <c r="P114" i="41"/>
  <c r="P116" i="41"/>
  <c r="P118" i="41"/>
  <c r="P100" i="42"/>
  <c r="P102" i="42"/>
  <c r="P114" i="42"/>
  <c r="P126" i="42"/>
  <c r="P128" i="42"/>
  <c r="P130" i="42"/>
  <c r="P110" i="43"/>
  <c r="P109" i="44"/>
  <c r="P125" i="44"/>
  <c r="P137" i="3"/>
  <c r="P113" i="3"/>
  <c r="P111" i="3"/>
  <c r="P109" i="3"/>
  <c r="P139" i="4"/>
  <c r="P135" i="4"/>
  <c r="P133" i="4"/>
  <c r="P127" i="4"/>
  <c r="P125" i="4"/>
  <c r="P123" i="4"/>
  <c r="P115" i="4"/>
  <c r="P133" i="7"/>
  <c r="P138" i="8"/>
  <c r="P136" i="8"/>
  <c r="P134" i="8"/>
  <c r="P132" i="8"/>
  <c r="P130" i="8"/>
  <c r="P128" i="8"/>
  <c r="P124" i="8"/>
  <c r="P122" i="8"/>
  <c r="P120" i="8"/>
  <c r="P118" i="8"/>
  <c r="P116" i="8"/>
  <c r="P112" i="8"/>
  <c r="P110" i="8"/>
  <c r="P152" i="10"/>
  <c r="P125" i="13"/>
  <c r="P126" i="22"/>
  <c r="P151" i="4"/>
  <c r="P149" i="4"/>
  <c r="P141" i="4"/>
  <c r="P109" i="4"/>
  <c r="P126" i="8"/>
  <c r="P134" i="3"/>
  <c r="P130" i="3"/>
  <c r="P132" i="7"/>
  <c r="P118" i="28"/>
  <c r="P118" i="39"/>
  <c r="P122" i="39"/>
  <c r="P104" i="40"/>
  <c r="P120" i="40"/>
  <c r="P104" i="42"/>
  <c r="P119" i="22"/>
  <c r="P118" i="9"/>
  <c r="P130" i="11"/>
  <c r="P124" i="46"/>
  <c r="P117" i="5"/>
  <c r="P126" i="24"/>
  <c r="P122" i="24"/>
  <c r="P114" i="24"/>
  <c r="P112" i="24"/>
  <c r="P108" i="24"/>
  <c r="P129" i="22"/>
  <c r="P125" i="22"/>
  <c r="P117" i="22"/>
  <c r="P115" i="22"/>
  <c r="P112" i="27"/>
  <c r="P122" i="27"/>
  <c r="P111" i="29"/>
  <c r="P117" i="29"/>
  <c r="P129" i="29"/>
  <c r="P118" i="30"/>
  <c r="P126" i="30"/>
  <c r="P106" i="38"/>
  <c r="P108" i="38"/>
  <c r="P112" i="38"/>
  <c r="P114" i="38"/>
  <c r="P116" i="38"/>
  <c r="P118" i="38"/>
  <c r="P122" i="38"/>
  <c r="P124" i="38"/>
  <c r="P128" i="5"/>
  <c r="P126" i="5"/>
  <c r="P120" i="5"/>
  <c r="P118" i="5"/>
  <c r="P116" i="5"/>
  <c r="P128" i="11"/>
  <c r="P126" i="11"/>
  <c r="P124" i="11"/>
  <c r="P122" i="11"/>
  <c r="P118" i="11"/>
  <c r="P114" i="11"/>
  <c r="P112" i="11"/>
  <c r="P125" i="24"/>
  <c r="P119" i="24"/>
  <c r="P117" i="24"/>
  <c r="P115" i="24"/>
  <c r="P113" i="24"/>
  <c r="P111" i="24"/>
  <c r="P109" i="24"/>
  <c r="P101" i="37"/>
  <c r="P109" i="37"/>
  <c r="P154" i="3"/>
  <c r="P150" i="3"/>
  <c r="P146" i="3"/>
  <c r="P144" i="3"/>
  <c r="P142" i="3"/>
  <c r="P140" i="3"/>
  <c r="P136" i="3"/>
  <c r="P132" i="3"/>
  <c r="P128" i="3"/>
  <c r="P126" i="3"/>
  <c r="P124" i="3"/>
  <c r="P120" i="3"/>
  <c r="P112" i="3"/>
  <c r="P150" i="7"/>
  <c r="P138" i="7"/>
  <c r="P128" i="7"/>
  <c r="P126" i="7"/>
  <c r="P122" i="7"/>
  <c r="P114" i="7"/>
  <c r="P137" i="8"/>
  <c r="P137" i="10"/>
  <c r="P126" i="13"/>
  <c r="P117" i="23"/>
  <c r="P117" i="28"/>
  <c r="P122" i="37"/>
  <c r="P128" i="37"/>
  <c r="P105" i="39"/>
  <c r="P115" i="39"/>
  <c r="P101" i="40"/>
  <c r="P105" i="40"/>
  <c r="P109" i="40"/>
  <c r="P113" i="40"/>
  <c r="P127" i="40"/>
  <c r="P129" i="40"/>
  <c r="P109" i="27"/>
  <c r="P110" i="29"/>
  <c r="P109" i="38"/>
  <c r="P111" i="38"/>
  <c r="P113" i="38"/>
  <c r="P117" i="38"/>
  <c r="P119" i="38"/>
  <c r="P123" i="38"/>
  <c r="P109" i="42"/>
  <c r="P108" i="28"/>
  <c r="P114" i="28"/>
  <c r="P124" i="28"/>
  <c r="P128" i="28"/>
  <c r="P104" i="31"/>
  <c r="P116" i="31"/>
  <c r="P120" i="31"/>
  <c r="P124" i="31"/>
  <c r="P128" i="31"/>
  <c r="P103" i="37"/>
  <c r="P105" i="37"/>
  <c r="P107" i="37"/>
  <c r="P111" i="37"/>
  <c r="P113" i="37"/>
  <c r="P115" i="37"/>
  <c r="P119" i="37"/>
  <c r="P125" i="37"/>
  <c r="P129" i="37"/>
  <c r="P126" i="45"/>
  <c r="P101" i="46"/>
  <c r="P129" i="46"/>
  <c r="J92" i="46"/>
  <c r="P105" i="28"/>
  <c r="P111" i="28"/>
  <c r="P111" i="40"/>
  <c r="P121" i="40"/>
  <c r="P102" i="37"/>
  <c r="P125" i="9"/>
  <c r="P115" i="31"/>
  <c r="P110" i="37"/>
  <c r="P114" i="37"/>
  <c r="P118" i="37"/>
  <c r="P126" i="37"/>
  <c r="P149" i="7"/>
  <c r="P145" i="7"/>
  <c r="P141" i="7"/>
  <c r="P137" i="7"/>
  <c r="P117" i="7"/>
  <c r="P105" i="27"/>
  <c r="P111" i="27"/>
  <c r="P113" i="27"/>
  <c r="P115" i="27"/>
  <c r="P119" i="27"/>
  <c r="P121" i="27"/>
  <c r="P125" i="27"/>
  <c r="P127" i="27"/>
  <c r="P129" i="27"/>
  <c r="P106" i="29"/>
  <c r="P108" i="29"/>
  <c r="P116" i="29"/>
  <c r="P118" i="29"/>
  <c r="P120" i="29"/>
  <c r="P118" i="31"/>
  <c r="P122" i="44"/>
  <c r="P104" i="37"/>
  <c r="P108" i="37"/>
  <c r="P120" i="37"/>
  <c r="P124" i="37"/>
  <c r="P130" i="37"/>
  <c r="P148" i="3"/>
  <c r="P138" i="3"/>
  <c r="P122" i="3"/>
  <c r="P110" i="3"/>
  <c r="P144" i="4"/>
  <c r="P140" i="4"/>
  <c r="P136" i="4"/>
  <c r="P124" i="4"/>
  <c r="P129" i="10"/>
  <c r="P127" i="10"/>
  <c r="P125" i="10"/>
  <c r="P123" i="10"/>
  <c r="P121" i="10"/>
  <c r="P119" i="10"/>
  <c r="P117" i="10"/>
  <c r="P115" i="10"/>
  <c r="P130" i="13"/>
  <c r="P128" i="13"/>
  <c r="P120" i="13"/>
  <c r="P116" i="13"/>
  <c r="P114" i="13"/>
  <c r="P112" i="13"/>
  <c r="P110" i="13"/>
  <c r="P108" i="13"/>
  <c r="P106" i="13"/>
  <c r="P104" i="13"/>
  <c r="P102" i="13"/>
  <c r="P100" i="13"/>
  <c r="P118" i="27"/>
  <c r="P124" i="27"/>
  <c r="P112" i="30"/>
  <c r="P116" i="30"/>
  <c r="P120" i="30"/>
  <c r="P124" i="30"/>
  <c r="P128" i="30"/>
  <c r="P100" i="41"/>
  <c r="P106" i="41"/>
  <c r="P122" i="41"/>
  <c r="P107" i="44"/>
  <c r="P111" i="44"/>
  <c r="C99" i="1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45" i="37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N87" i="37"/>
  <c r="C45" i="1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45" i="7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45" i="40"/>
  <c r="C46" i="40" s="1"/>
  <c r="C47" i="40" s="1"/>
  <c r="C48" i="40" s="1"/>
  <c r="C49" i="40" s="1"/>
  <c r="C50" i="40" s="1"/>
  <c r="C51" i="40" s="1"/>
  <c r="C52" i="40" s="1"/>
  <c r="C53" i="40" s="1"/>
  <c r="C54" i="40" s="1"/>
  <c r="C55" i="40" s="1"/>
  <c r="C56" i="40" s="1"/>
  <c r="C57" i="40" s="1"/>
  <c r="C58" i="40" s="1"/>
  <c r="C59" i="40" s="1"/>
  <c r="C60" i="40" s="1"/>
  <c r="C61" i="40" s="1"/>
  <c r="C62" i="40" s="1"/>
  <c r="C63" i="40" s="1"/>
  <c r="C64" i="40" s="1"/>
  <c r="C65" i="40" s="1"/>
  <c r="C66" i="40" s="1"/>
  <c r="C67" i="40" s="1"/>
  <c r="C68" i="40" s="1"/>
  <c r="C69" i="40" s="1"/>
  <c r="C70" i="40" s="1"/>
  <c r="C71" i="40" s="1"/>
  <c r="C72" i="40" s="1"/>
  <c r="N87" i="41"/>
  <c r="C45" i="4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M87" i="41"/>
  <c r="B18" i="46"/>
  <c r="C45" i="42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C60" i="42" s="1"/>
  <c r="C61" i="42" s="1"/>
  <c r="C62" i="42" s="1"/>
  <c r="C63" i="42" s="1"/>
  <c r="C64" i="42" s="1"/>
  <c r="C65" i="42" s="1"/>
  <c r="C66" i="42" s="1"/>
  <c r="C67" i="42" s="1"/>
  <c r="C68" i="42" s="1"/>
  <c r="C69" i="42" s="1"/>
  <c r="C70" i="42" s="1"/>
  <c r="C71" i="42" s="1"/>
  <c r="C72" i="42" s="1"/>
  <c r="D94" i="11"/>
  <c r="C99" i="4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B30" i="10"/>
  <c r="D93" i="29"/>
  <c r="C45" i="22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C58" i="22" s="1"/>
  <c r="C59" i="22" s="1"/>
  <c r="C60" i="22" s="1"/>
  <c r="C61" i="22" s="1"/>
  <c r="C62" i="22" s="1"/>
  <c r="C63" i="22" s="1"/>
  <c r="C64" i="22" s="1"/>
  <c r="C65" i="22" s="1"/>
  <c r="C66" i="22" s="1"/>
  <c r="C67" i="22" s="1"/>
  <c r="C68" i="22" s="1"/>
  <c r="C69" i="22" s="1"/>
  <c r="C70" i="22" s="1"/>
  <c r="C71" i="22" s="1"/>
  <c r="C72" i="22" s="1"/>
  <c r="C45" i="10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B24" i="24"/>
  <c r="B18" i="42"/>
  <c r="L86" i="10"/>
  <c r="M87" i="10"/>
  <c r="D94" i="9"/>
  <c r="D93" i="9"/>
  <c r="D94" i="8"/>
  <c r="D93" i="8"/>
  <c r="D93" i="7"/>
  <c r="D94" i="7"/>
  <c r="O18" i="24"/>
  <c r="O19" i="8"/>
  <c r="B28" i="8"/>
  <c r="B26" i="22"/>
  <c r="O59" i="3"/>
  <c r="O49" i="3"/>
  <c r="O49" i="4"/>
  <c r="O20" i="3"/>
  <c r="C100" i="3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P99" i="9"/>
  <c r="O39" i="9"/>
  <c r="O70" i="10"/>
  <c r="O64" i="10"/>
  <c r="O18" i="11"/>
  <c r="O67" i="13"/>
  <c r="O17" i="13"/>
  <c r="O63" i="22"/>
  <c r="O45" i="22"/>
  <c r="P100" i="8"/>
  <c r="O47" i="7"/>
  <c r="O18" i="7"/>
  <c r="P100" i="9"/>
  <c r="P100" i="10"/>
  <c r="O48" i="10"/>
  <c r="O66" i="11"/>
  <c r="O53" i="11"/>
  <c r="O46" i="11"/>
  <c r="O35" i="11"/>
  <c r="O29" i="11"/>
  <c r="O57" i="22"/>
  <c r="P124" i="6"/>
  <c r="P118" i="6"/>
  <c r="O17" i="22"/>
  <c r="O21" i="6"/>
  <c r="P112" i="5"/>
  <c r="P110" i="5"/>
  <c r="P153" i="6"/>
  <c r="P151" i="6"/>
  <c r="P149" i="6"/>
  <c r="P143" i="6"/>
  <c r="P137" i="6"/>
  <c r="P117" i="6"/>
  <c r="P115" i="6"/>
  <c r="P113" i="6"/>
  <c r="P111" i="6"/>
  <c r="P151" i="8"/>
  <c r="P147" i="8"/>
  <c r="P145" i="8"/>
  <c r="P141" i="8"/>
  <c r="P139" i="8"/>
  <c r="P133" i="8"/>
  <c r="P131" i="8"/>
  <c r="P154" i="10"/>
  <c r="P150" i="10"/>
  <c r="P148" i="10"/>
  <c r="P144" i="10"/>
  <c r="P142" i="10"/>
  <c r="P140" i="10"/>
  <c r="P136" i="10"/>
  <c r="P118" i="10"/>
  <c r="P129" i="11"/>
  <c r="P117" i="11"/>
  <c r="P119" i="13"/>
  <c r="P109" i="13"/>
  <c r="P101" i="13"/>
  <c r="P127" i="23"/>
  <c r="P119" i="23"/>
  <c r="P107" i="23"/>
  <c r="O44" i="23"/>
  <c r="O58" i="24"/>
  <c r="O21" i="8"/>
  <c r="O22" i="9"/>
  <c r="O23" i="10"/>
  <c r="O31" i="27"/>
  <c r="O48" i="27"/>
  <c r="O69" i="27"/>
  <c r="P154" i="7"/>
  <c r="P152" i="7"/>
  <c r="P146" i="7"/>
  <c r="P144" i="7"/>
  <c r="P142" i="7"/>
  <c r="P140" i="7"/>
  <c r="P136" i="7"/>
  <c r="P124" i="7"/>
  <c r="P116" i="7"/>
  <c r="P122" i="23"/>
  <c r="P118" i="23"/>
  <c r="P110" i="23"/>
  <c r="O49" i="23"/>
  <c r="O26" i="23"/>
  <c r="O68" i="24"/>
  <c r="O45" i="24"/>
  <c r="O43" i="24"/>
  <c r="O67" i="25"/>
  <c r="O46" i="25"/>
  <c r="O22" i="11"/>
  <c r="O19" i="22"/>
  <c r="I12" i="46"/>
  <c r="I12" i="45"/>
  <c r="I12" i="43"/>
  <c r="I13" i="43" s="1"/>
  <c r="P114" i="27"/>
  <c r="P116" i="27"/>
  <c r="P120" i="27"/>
  <c r="P126" i="27"/>
  <c r="P128" i="27"/>
  <c r="P130" i="27"/>
  <c r="O23" i="11"/>
  <c r="P104" i="6"/>
  <c r="O19" i="24"/>
  <c r="O21" i="25"/>
  <c r="O18" i="29"/>
  <c r="O17" i="30"/>
  <c r="O23" i="37"/>
  <c r="O42" i="37"/>
  <c r="P100" i="28"/>
  <c r="I12" i="44"/>
  <c r="J94" i="46"/>
  <c r="J95" i="46" s="1"/>
  <c r="J94" i="45"/>
  <c r="J95" i="45" s="1"/>
  <c r="J94" i="44"/>
  <c r="J95" i="44" s="1"/>
  <c r="O19" i="23"/>
  <c r="P103" i="25"/>
  <c r="O39" i="37"/>
  <c r="P109" i="28"/>
  <c r="P113" i="28"/>
  <c r="P119" i="28"/>
  <c r="P125" i="28"/>
  <c r="P113" i="29"/>
  <c r="P119" i="29"/>
  <c r="P121" i="29"/>
  <c r="P108" i="10"/>
  <c r="O22" i="23"/>
  <c r="O21" i="24"/>
  <c r="O19" i="28"/>
  <c r="O18" i="30"/>
  <c r="P100" i="31"/>
  <c r="O42" i="41"/>
  <c r="O54" i="41"/>
  <c r="P106" i="3"/>
  <c r="O28" i="7"/>
  <c r="O26" i="8"/>
  <c r="O68" i="40"/>
  <c r="P105" i="3"/>
  <c r="O25" i="6"/>
  <c r="O25" i="8"/>
  <c r="P107" i="9"/>
  <c r="P104" i="22"/>
  <c r="O20" i="27"/>
  <c r="P100" i="29"/>
  <c r="O62" i="41"/>
  <c r="O66" i="41"/>
  <c r="O18" i="42"/>
  <c r="P107" i="6"/>
  <c r="O25" i="25"/>
  <c r="P106" i="28"/>
  <c r="P112" i="28"/>
  <c r="P122" i="28"/>
  <c r="O37" i="38"/>
  <c r="O57" i="38"/>
  <c r="O29" i="42"/>
  <c r="O27" i="6"/>
  <c r="P101" i="30"/>
  <c r="P108" i="6"/>
  <c r="P110" i="7"/>
  <c r="P109" i="11"/>
  <c r="O21" i="31"/>
  <c r="O33" i="43"/>
  <c r="O18" i="44"/>
  <c r="P128" i="38"/>
  <c r="P130" i="38"/>
  <c r="P101" i="41"/>
  <c r="P127" i="41"/>
  <c r="P101" i="42"/>
  <c r="P113" i="42"/>
  <c r="P119" i="42"/>
  <c r="P123" i="42"/>
  <c r="P105" i="25"/>
  <c r="P101" i="28"/>
  <c r="P107" i="4"/>
  <c r="P109" i="9"/>
  <c r="P105" i="23"/>
  <c r="O21" i="29"/>
  <c r="P106" i="43"/>
  <c r="P112" i="43"/>
  <c r="P116" i="43"/>
  <c r="P122" i="43"/>
  <c r="O28" i="44"/>
  <c r="O50" i="44"/>
  <c r="O60" i="44"/>
  <c r="O67" i="44"/>
  <c r="O61" i="45"/>
  <c r="O23" i="46"/>
  <c r="O37" i="46"/>
  <c r="O29" i="44"/>
  <c r="O64" i="44"/>
  <c r="O65" i="45"/>
  <c r="O31" i="46"/>
  <c r="C18" i="45"/>
  <c r="C19" i="45" s="1"/>
  <c r="C20" i="45" s="1"/>
  <c r="C21" i="45" s="1"/>
  <c r="C22" i="45" s="1"/>
  <c r="C23" i="45" s="1"/>
  <c r="C24" i="45" s="1"/>
  <c r="C25" i="45" s="1"/>
  <c r="C26" i="45" s="1"/>
  <c r="C27" i="45" s="1"/>
  <c r="C28" i="45" s="1"/>
  <c r="C29" i="45" s="1"/>
  <c r="C30" i="45" s="1"/>
  <c r="C31" i="45" s="1"/>
  <c r="C32" i="45" s="1"/>
  <c r="C33" i="45" s="1"/>
  <c r="C34" i="45" s="1"/>
  <c r="C35" i="45" s="1"/>
  <c r="C36" i="45" s="1"/>
  <c r="C37" i="45" s="1"/>
  <c r="C38" i="45" s="1"/>
  <c r="C39" i="45" s="1"/>
  <c r="C40" i="45" s="1"/>
  <c r="C41" i="45" s="1"/>
  <c r="C42" i="45" s="1"/>
  <c r="C43" i="45" s="1"/>
  <c r="C44" i="45" s="1"/>
  <c r="P123" i="46"/>
  <c r="P122" i="45"/>
  <c r="P125" i="46"/>
  <c r="P120" i="28"/>
  <c r="P124" i="43"/>
  <c r="P114" i="45"/>
  <c r="P116" i="45"/>
  <c r="P118" i="45"/>
  <c r="P120" i="45"/>
  <c r="P128" i="45"/>
  <c r="P118" i="3"/>
  <c r="P148" i="6"/>
  <c r="P140" i="6"/>
  <c r="P112" i="7"/>
  <c r="P130" i="9"/>
  <c r="P126" i="9"/>
  <c r="P124" i="9"/>
  <c r="P120" i="9"/>
  <c r="P116" i="9"/>
  <c r="P114" i="9"/>
  <c r="P112" i="9"/>
  <c r="P124" i="22"/>
  <c r="P122" i="22"/>
  <c r="P130" i="28"/>
  <c r="P115" i="44"/>
  <c r="P119" i="44"/>
  <c r="P121" i="44"/>
  <c r="P123" i="44"/>
  <c r="P127" i="44"/>
  <c r="P129" i="44"/>
  <c r="P123" i="28"/>
  <c r="P127" i="28"/>
  <c r="P122" i="29"/>
  <c r="P124" i="29"/>
  <c r="P126" i="29"/>
  <c r="P130" i="29"/>
  <c r="P107" i="30"/>
  <c r="P109" i="30"/>
  <c r="P113" i="30"/>
  <c r="P117" i="30"/>
  <c r="P119" i="30"/>
  <c r="P123" i="30"/>
  <c r="P125" i="30"/>
  <c r="P127" i="30"/>
  <c r="P129" i="30"/>
  <c r="P105" i="31"/>
  <c r="P107" i="31"/>
  <c r="P109" i="31"/>
  <c r="P119" i="43"/>
  <c r="P123" i="43"/>
  <c r="P149" i="3"/>
  <c r="P130" i="46"/>
  <c r="P147" i="3"/>
  <c r="P145" i="3"/>
  <c r="P143" i="3"/>
  <c r="P135" i="3"/>
  <c r="P133" i="3"/>
  <c r="P131" i="3"/>
  <c r="P127" i="3"/>
  <c r="P125" i="3"/>
  <c r="P121" i="3"/>
  <c r="P117" i="3"/>
  <c r="P115" i="3"/>
  <c r="P154" i="4"/>
  <c r="P152" i="4"/>
  <c r="P150" i="4"/>
  <c r="P148" i="4"/>
  <c r="P130" i="4"/>
  <c r="P122" i="4"/>
  <c r="P118" i="4"/>
  <c r="P116" i="4"/>
  <c r="P114" i="4"/>
  <c r="P112" i="4"/>
  <c r="P110" i="4"/>
  <c r="P142" i="5"/>
  <c r="P140" i="5"/>
  <c r="P136" i="5"/>
  <c r="P130" i="5"/>
  <c r="P148" i="7"/>
  <c r="P153" i="8"/>
  <c r="P130" i="10"/>
  <c r="P116" i="10"/>
  <c r="P127" i="11"/>
  <c r="P119" i="11"/>
  <c r="P115" i="11"/>
  <c r="P113" i="11"/>
  <c r="P111" i="13"/>
  <c r="P103" i="13"/>
  <c r="P116" i="22"/>
  <c r="P114" i="22"/>
  <c r="P110" i="22"/>
  <c r="P116" i="23"/>
  <c r="P110" i="28"/>
  <c r="P103" i="41"/>
  <c r="P105" i="41"/>
  <c r="P107" i="41"/>
  <c r="P111" i="41"/>
  <c r="P113" i="41"/>
  <c r="P125" i="41"/>
  <c r="P129" i="41"/>
  <c r="P105" i="42"/>
  <c r="P121" i="42"/>
  <c r="P127" i="42"/>
  <c r="P102" i="43"/>
  <c r="P104" i="43"/>
  <c r="P114" i="43"/>
  <c r="P118" i="43"/>
  <c r="P127" i="43"/>
  <c r="P99" i="44"/>
  <c r="P100" i="44"/>
  <c r="P102" i="44"/>
  <c r="P103" i="44"/>
  <c r="P104" i="44"/>
  <c r="P106" i="44"/>
  <c r="P108" i="44"/>
  <c r="P110" i="44"/>
  <c r="P112" i="44"/>
  <c r="P114" i="44"/>
  <c r="P116" i="44"/>
  <c r="P120" i="44"/>
  <c r="P128" i="44"/>
  <c r="P130" i="44"/>
  <c r="P100" i="46"/>
  <c r="P106" i="46"/>
  <c r="P108" i="46"/>
  <c r="P120" i="46"/>
  <c r="P126" i="46"/>
  <c r="P145" i="4"/>
  <c r="P123" i="7"/>
  <c r="P121" i="7"/>
  <c r="P119" i="7"/>
  <c r="P113" i="7"/>
  <c r="P154" i="8"/>
  <c r="P150" i="8"/>
  <c r="P146" i="8"/>
  <c r="P144" i="8"/>
  <c r="P142" i="8"/>
  <c r="P121" i="9"/>
  <c r="P119" i="9"/>
  <c r="P115" i="9"/>
  <c r="P111" i="9"/>
  <c r="P107" i="39"/>
  <c r="P123" i="39"/>
  <c r="P127" i="39"/>
  <c r="P120" i="41"/>
  <c r="P124" i="41"/>
  <c r="P126" i="41"/>
  <c r="P128" i="41"/>
  <c r="P130" i="41"/>
  <c r="P106" i="42"/>
  <c r="P108" i="42"/>
  <c r="P110" i="42"/>
  <c r="P118" i="42"/>
  <c r="P120" i="42"/>
  <c r="P122" i="42"/>
  <c r="P99" i="46"/>
  <c r="P117" i="46"/>
  <c r="P147" i="4"/>
  <c r="P147" i="6"/>
  <c r="P145" i="6"/>
  <c r="P141" i="6"/>
  <c r="P139" i="6"/>
  <c r="P135" i="6"/>
  <c r="P133" i="6"/>
  <c r="P131" i="6"/>
  <c r="P129" i="6"/>
  <c r="P127" i="6"/>
  <c r="P125" i="6"/>
  <c r="P123" i="6"/>
  <c r="P121" i="6"/>
  <c r="P145" i="10"/>
  <c r="P112" i="22"/>
  <c r="P111" i="31"/>
  <c r="P117" i="31"/>
  <c r="P119" i="31"/>
  <c r="P121" i="31"/>
  <c r="P129" i="31"/>
  <c r="P102" i="38"/>
  <c r="P104" i="38"/>
  <c r="P126" i="38"/>
  <c r="P110" i="39"/>
  <c r="P112" i="39"/>
  <c r="P116" i="39"/>
  <c r="P115" i="42"/>
  <c r="P117" i="42"/>
  <c r="P109" i="46"/>
  <c r="P152" i="3"/>
  <c r="P116" i="3"/>
  <c r="P114" i="3"/>
  <c r="P137" i="4"/>
  <c r="P141" i="5"/>
  <c r="P149" i="8"/>
  <c r="P127" i="9"/>
  <c r="P121" i="22"/>
  <c r="P129" i="23"/>
  <c r="P125" i="23"/>
  <c r="P123" i="23"/>
  <c r="P121" i="23"/>
  <c r="P113" i="23"/>
  <c r="P108" i="27"/>
  <c r="P152" i="5"/>
  <c r="P148" i="5"/>
  <c r="P138" i="5"/>
  <c r="P134" i="5"/>
  <c r="P132" i="5"/>
  <c r="P127" i="5"/>
  <c r="P121" i="5"/>
  <c r="P119" i="5"/>
  <c r="P115" i="5"/>
  <c r="P152" i="6"/>
  <c r="P153" i="7"/>
  <c r="P143" i="7"/>
  <c r="P139" i="7"/>
  <c r="P125" i="7"/>
  <c r="P120" i="7"/>
  <c r="P118" i="7"/>
  <c r="P152" i="8"/>
  <c r="P148" i="8"/>
  <c r="P140" i="8"/>
  <c r="P129" i="8"/>
  <c r="P115" i="8"/>
  <c r="P128" i="9"/>
  <c r="P122" i="9"/>
  <c r="P146" i="10"/>
  <c r="P128" i="22"/>
  <c r="P120" i="22"/>
  <c r="P118" i="22"/>
  <c r="P101" i="38"/>
  <c r="P103" i="38"/>
  <c r="P105" i="38"/>
  <c r="P127" i="38"/>
  <c r="P129" i="38"/>
  <c r="P101" i="39"/>
  <c r="P103" i="39"/>
  <c r="P111" i="39"/>
  <c r="P117" i="39"/>
  <c r="P119" i="39"/>
  <c r="P121" i="39"/>
  <c r="P125" i="39"/>
  <c r="P129" i="39"/>
  <c r="P108" i="40"/>
  <c r="P110" i="40"/>
  <c r="P112" i="40"/>
  <c r="P114" i="40"/>
  <c r="P116" i="40"/>
  <c r="P118" i="40"/>
  <c r="P122" i="40"/>
  <c r="P115" i="41"/>
  <c r="P117" i="41"/>
  <c r="P119" i="45"/>
  <c r="M87" i="9"/>
  <c r="F48" i="2"/>
  <c r="F52" i="2" s="1"/>
  <c r="P120" i="6"/>
  <c r="P127" i="8"/>
  <c r="P123" i="8"/>
  <c r="P121" i="8"/>
  <c r="P117" i="8"/>
  <c r="P113" i="8"/>
  <c r="P113" i="9"/>
  <c r="P138" i="10"/>
  <c r="P123" i="11"/>
  <c r="P121" i="11"/>
  <c r="P129" i="13"/>
  <c r="P127" i="13"/>
  <c r="P115" i="13"/>
  <c r="P107" i="13"/>
  <c r="P105" i="13"/>
  <c r="P99" i="13"/>
  <c r="P113" i="22"/>
  <c r="P111" i="22"/>
  <c r="P109" i="22"/>
  <c r="P114" i="23"/>
  <c r="P125" i="38"/>
  <c r="P113" i="39"/>
  <c r="P109" i="45"/>
  <c r="P113" i="45"/>
  <c r="P121" i="45"/>
  <c r="P123" i="45"/>
  <c r="P125" i="45"/>
  <c r="P127" i="45"/>
  <c r="P153" i="3"/>
  <c r="P151" i="3"/>
  <c r="P141" i="3"/>
  <c r="P139" i="3"/>
  <c r="P129" i="3"/>
  <c r="P123" i="3"/>
  <c r="P119" i="3"/>
  <c r="P146" i="4"/>
  <c r="P138" i="4"/>
  <c r="P134" i="4"/>
  <c r="P128" i="4"/>
  <c r="P126" i="4"/>
  <c r="P120" i="4"/>
  <c r="P135" i="7"/>
  <c r="P147" i="10"/>
  <c r="P141" i="10"/>
  <c r="P139" i="10"/>
  <c r="J94" i="43"/>
  <c r="J94" i="13"/>
  <c r="J94" i="30"/>
  <c r="J95" i="30" s="1"/>
  <c r="J94" i="27"/>
  <c r="J95" i="27" s="1"/>
  <c r="J94" i="8"/>
  <c r="J95" i="8" s="1"/>
  <c r="J94" i="3"/>
  <c r="J95" i="3" s="1"/>
  <c r="J94" i="38"/>
  <c r="J94" i="25"/>
  <c r="J95" i="25" s="1"/>
  <c r="J94" i="28"/>
  <c r="J95" i="28" s="1"/>
  <c r="J94" i="7"/>
  <c r="J95" i="7" s="1"/>
  <c r="J94" i="9"/>
  <c r="J94" i="4"/>
  <c r="J95" i="4" s="1"/>
  <c r="J94" i="6"/>
  <c r="J95" i="6" s="1"/>
  <c r="J94" i="11"/>
  <c r="J95" i="11" s="1"/>
  <c r="P107" i="27"/>
  <c r="P114" i="29"/>
  <c r="P110" i="30"/>
  <c r="P114" i="31"/>
  <c r="P100" i="43"/>
  <c r="P108" i="43"/>
  <c r="P108" i="45"/>
  <c r="P144" i="5"/>
  <c r="P108" i="23"/>
  <c r="P129" i="24"/>
  <c r="P128" i="29"/>
  <c r="P105" i="30"/>
  <c r="P123" i="37"/>
  <c r="P103" i="40"/>
  <c r="P107" i="40"/>
  <c r="P115" i="40"/>
  <c r="P117" i="40"/>
  <c r="P108" i="41"/>
  <c r="P124" i="42"/>
  <c r="P101" i="43"/>
  <c r="P103" i="43"/>
  <c r="P107" i="43"/>
  <c r="P109" i="43"/>
  <c r="P128" i="43"/>
  <c r="P124" i="44"/>
  <c r="P126" i="44"/>
  <c r="P100" i="45"/>
  <c r="P102" i="45"/>
  <c r="P104" i="45"/>
  <c r="P106" i="45"/>
  <c r="P105" i="46"/>
  <c r="P107" i="46"/>
  <c r="P113" i="46"/>
  <c r="P115" i="46"/>
  <c r="P149" i="5"/>
  <c r="P133" i="5"/>
  <c r="P129" i="5"/>
  <c r="P124" i="5"/>
  <c r="P110" i="6"/>
  <c r="P143" i="8"/>
  <c r="P129" i="9"/>
  <c r="P153" i="10"/>
  <c r="P151" i="10"/>
  <c r="P149" i="10"/>
  <c r="P134" i="10"/>
  <c r="P126" i="10"/>
  <c r="P125" i="11"/>
  <c r="P124" i="13"/>
  <c r="P122" i="13"/>
  <c r="P127" i="22"/>
  <c r="P123" i="22"/>
  <c r="P108" i="22"/>
  <c r="P126" i="23"/>
  <c r="P128" i="24"/>
  <c r="P124" i="24"/>
  <c r="P120" i="24"/>
  <c r="P118" i="24"/>
  <c r="P116" i="24"/>
  <c r="P105" i="29"/>
  <c r="P107" i="29"/>
  <c r="P109" i="29"/>
  <c r="P115" i="29"/>
  <c r="P106" i="30"/>
  <c r="P123" i="31"/>
  <c r="P106" i="37"/>
  <c r="P116" i="37"/>
  <c r="P120" i="38"/>
  <c r="P107" i="42"/>
  <c r="P129" i="42"/>
  <c r="P129" i="43"/>
  <c r="P103" i="45"/>
  <c r="P107" i="45"/>
  <c r="P116" i="46"/>
  <c r="P143" i="4"/>
  <c r="P108" i="31"/>
  <c r="P130" i="6"/>
  <c r="P106" i="24"/>
  <c r="P105" i="44"/>
  <c r="P112" i="45"/>
  <c r="P142" i="4"/>
  <c r="P132" i="4"/>
  <c r="P154" i="5"/>
  <c r="P125" i="29"/>
  <c r="P124" i="40"/>
  <c r="P130" i="40"/>
  <c r="P143" i="5"/>
  <c r="P122" i="5"/>
  <c r="P109" i="5"/>
  <c r="P134" i="7"/>
  <c r="P130" i="7"/>
  <c r="P125" i="8"/>
  <c r="P114" i="8"/>
  <c r="P143" i="10"/>
  <c r="P132" i="10"/>
  <c r="P128" i="10"/>
  <c r="P123" i="13"/>
  <c r="P121" i="13"/>
  <c r="P117" i="13"/>
  <c r="P130" i="23"/>
  <c r="P128" i="23"/>
  <c r="P124" i="23"/>
  <c r="P107" i="24"/>
  <c r="P123" i="29"/>
  <c r="P127" i="29"/>
  <c r="P111" i="30"/>
  <c r="P115" i="30"/>
  <c r="P110" i="31"/>
  <c r="P112" i="31"/>
  <c r="P125" i="31"/>
  <c r="P127" i="31"/>
  <c r="P112" i="37"/>
  <c r="P109" i="39"/>
  <c r="P119" i="40"/>
  <c r="P123" i="40"/>
  <c r="P126" i="40"/>
  <c r="P109" i="41"/>
  <c r="P103" i="42"/>
  <c r="P112" i="42"/>
  <c r="P116" i="42"/>
  <c r="P105" i="43"/>
  <c r="P101" i="44"/>
  <c r="P113" i="44"/>
  <c r="P101" i="45"/>
  <c r="P110" i="45"/>
  <c r="P117" i="45"/>
  <c r="P124" i="45"/>
  <c r="P103" i="46"/>
  <c r="P110" i="46"/>
  <c r="P112" i="46"/>
  <c r="P119" i="46"/>
  <c r="P121" i="46"/>
  <c r="P150" i="5"/>
  <c r="P115" i="7"/>
  <c r="P110" i="24"/>
  <c r="F88" i="2"/>
  <c r="F89" i="2" s="1"/>
  <c r="P117" i="27"/>
  <c r="P104" i="30"/>
  <c r="P121" i="30"/>
  <c r="P113" i="43"/>
  <c r="P117" i="43"/>
  <c r="P117" i="44"/>
  <c r="P105" i="45"/>
  <c r="P111" i="45"/>
  <c r="P114" i="46"/>
  <c r="P127" i="46"/>
  <c r="P151" i="5"/>
  <c r="P146" i="5"/>
  <c r="P137" i="5"/>
  <c r="P135" i="5"/>
  <c r="P125" i="5"/>
  <c r="P142" i="6"/>
  <c r="P128" i="6"/>
  <c r="P119" i="6"/>
  <c r="P112" i="6"/>
  <c r="P151" i="7"/>
  <c r="P147" i="7"/>
  <c r="P131" i="7"/>
  <c r="P127" i="7"/>
  <c r="P135" i="8"/>
  <c r="P119" i="8"/>
  <c r="P111" i="8"/>
  <c r="P117" i="9"/>
  <c r="P135" i="10"/>
  <c r="P133" i="10"/>
  <c r="P114" i="10"/>
  <c r="P112" i="10"/>
  <c r="P130" i="22"/>
  <c r="P111" i="23"/>
  <c r="P109" i="23"/>
  <c r="P130" i="24"/>
  <c r="P127" i="24"/>
  <c r="P123" i="24"/>
  <c r="P121" i="24"/>
  <c r="P106" i="27"/>
  <c r="P110" i="27"/>
  <c r="P115" i="28"/>
  <c r="P103" i="30"/>
  <c r="P114" i="30"/>
  <c r="P122" i="30"/>
  <c r="P130" i="30"/>
  <c r="P106" i="31"/>
  <c r="P113" i="31"/>
  <c r="P122" i="31"/>
  <c r="P117" i="37"/>
  <c r="P121" i="37"/>
  <c r="P127" i="37"/>
  <c r="P115" i="38"/>
  <c r="P121" i="38"/>
  <c r="P125" i="40"/>
  <c r="P119" i="41"/>
  <c r="P123" i="41"/>
  <c r="P125" i="43"/>
  <c r="P99" i="45"/>
  <c r="P115" i="45"/>
  <c r="P129" i="45"/>
  <c r="P102" i="46"/>
  <c r="P104" i="46"/>
  <c r="P111" i="46"/>
  <c r="P118" i="46"/>
  <c r="P122" i="46"/>
  <c r="P128" i="46"/>
  <c r="P126" i="6"/>
  <c r="P129" i="7"/>
  <c r="P123" i="9"/>
  <c r="P131" i="10"/>
  <c r="P120" i="23"/>
  <c r="P123" i="27"/>
  <c r="P121" i="28"/>
  <c r="P108" i="39"/>
  <c r="P102" i="41"/>
  <c r="P126" i="43"/>
  <c r="P122" i="10"/>
  <c r="P120" i="10"/>
  <c r="P113" i="10"/>
  <c r="P118" i="13"/>
  <c r="P113" i="13"/>
  <c r="P104" i="29"/>
  <c r="P111" i="42"/>
  <c r="P116" i="11"/>
  <c r="P111" i="11"/>
  <c r="P115" i="23"/>
  <c r="P112" i="23"/>
  <c r="P107" i="28"/>
  <c r="P129" i="28"/>
  <c r="P108" i="30"/>
  <c r="P110" i="38"/>
  <c r="P120" i="43"/>
  <c r="P130" i="43"/>
  <c r="P118" i="44"/>
  <c r="D45" i="17"/>
  <c r="D26" i="17"/>
  <c r="C36" i="17"/>
  <c r="D36" i="17"/>
  <c r="D20" i="17"/>
  <c r="C26" i="17"/>
  <c r="C39" i="17"/>
  <c r="C47" i="17"/>
  <c r="C37" i="17"/>
  <c r="C23" i="17"/>
  <c r="D32" i="17"/>
  <c r="C38" i="17"/>
  <c r="C32" i="17"/>
  <c r="D46" i="17"/>
  <c r="D37" i="17"/>
  <c r="D19" i="17"/>
  <c r="C18" i="17"/>
  <c r="D29" i="17"/>
  <c r="C29" i="17"/>
  <c r="C28" i="17"/>
  <c r="C46" i="17"/>
  <c r="C48" i="17"/>
  <c r="D48" i="17"/>
  <c r="C30" i="17"/>
  <c r="D44" i="17"/>
  <c r="D40" i="17"/>
  <c r="C20" i="17"/>
  <c r="C27" i="17"/>
  <c r="C44" i="17"/>
  <c r="D47" i="17"/>
  <c r="C35" i="17"/>
  <c r="C33" i="17"/>
  <c r="D43" i="17"/>
  <c r="C45" i="17"/>
  <c r="C19" i="17"/>
  <c r="M87" i="5" l="1"/>
  <c r="M87" i="40"/>
  <c r="F20" i="2"/>
  <c r="E25" i="2" s="1"/>
  <c r="E26" i="2" s="1"/>
  <c r="E30" i="2" s="1"/>
  <c r="L86" i="28"/>
  <c r="N87" i="4"/>
  <c r="N87" i="11"/>
  <c r="O87" i="11" s="1"/>
  <c r="N87" i="28"/>
  <c r="N87" i="23"/>
  <c r="N87" i="3"/>
  <c r="O87" i="3" s="1"/>
  <c r="N87" i="42"/>
  <c r="L86" i="45"/>
  <c r="J95" i="48"/>
  <c r="H99" i="48"/>
  <c r="L99" i="48" s="1"/>
  <c r="M99" i="48" s="1"/>
  <c r="N87" i="13"/>
  <c r="J95" i="49"/>
  <c r="I99" i="49" s="1"/>
  <c r="H99" i="49"/>
  <c r="L99" i="49" s="1"/>
  <c r="M99" i="49" s="1"/>
  <c r="J95" i="9"/>
  <c r="H17" i="13"/>
  <c r="I13" i="49"/>
  <c r="H17" i="49" s="1"/>
  <c r="G17" i="49"/>
  <c r="D102" i="48"/>
  <c r="G101" i="48"/>
  <c r="E101" i="49"/>
  <c r="F101" i="49" s="1"/>
  <c r="I100" i="49"/>
  <c r="H100" i="49"/>
  <c r="D13" i="48"/>
  <c r="I14" i="48" s="1"/>
  <c r="D13" i="47"/>
  <c r="I14" i="47" s="1"/>
  <c r="D13" i="49"/>
  <c r="I14" i="49" s="1"/>
  <c r="N87" i="25"/>
  <c r="O87" i="25" s="1"/>
  <c r="L86" i="25"/>
  <c r="N87" i="47"/>
  <c r="L86" i="47"/>
  <c r="M88" i="47"/>
  <c r="M87" i="47"/>
  <c r="N88" i="47"/>
  <c r="N88" i="49"/>
  <c r="L86" i="49"/>
  <c r="N87" i="49"/>
  <c r="M88" i="49"/>
  <c r="M87" i="49"/>
  <c r="M88" i="48"/>
  <c r="N88" i="48"/>
  <c r="L86" i="48"/>
  <c r="N87" i="48"/>
  <c r="M87" i="48"/>
  <c r="D13" i="27"/>
  <c r="I14" i="27" s="1"/>
  <c r="E19" i="27" s="1"/>
  <c r="D13" i="29"/>
  <c r="I14" i="29" s="1"/>
  <c r="D13" i="45"/>
  <c r="I14" i="45" s="1"/>
  <c r="D13" i="28"/>
  <c r="I14" i="28" s="1"/>
  <c r="D13" i="23"/>
  <c r="I14" i="23" s="1"/>
  <c r="D13" i="4"/>
  <c r="I14" i="4" s="1"/>
  <c r="D13" i="9"/>
  <c r="I14" i="9" s="1"/>
  <c r="D13" i="22"/>
  <c r="I14" i="22" s="1"/>
  <c r="F20" i="1"/>
  <c r="E32" i="1" s="1"/>
  <c r="D13" i="41"/>
  <c r="I14" i="41" s="1"/>
  <c r="D13" i="24"/>
  <c r="I14" i="24" s="1"/>
  <c r="D13" i="13"/>
  <c r="D13" i="8"/>
  <c r="I14" i="8" s="1"/>
  <c r="D13" i="46"/>
  <c r="I14" i="46" s="1"/>
  <c r="D13" i="25"/>
  <c r="I14" i="25" s="1"/>
  <c r="D13" i="40"/>
  <c r="I14" i="40" s="1"/>
  <c r="D13" i="42"/>
  <c r="I14" i="42" s="1"/>
  <c r="D13" i="5"/>
  <c r="I14" i="5" s="1"/>
  <c r="D13" i="6"/>
  <c r="I14" i="6" s="1"/>
  <c r="D13" i="43"/>
  <c r="I14" i="43" s="1"/>
  <c r="D13" i="10"/>
  <c r="I14" i="10" s="1"/>
  <c r="D13" i="31"/>
  <c r="I14" i="31" s="1"/>
  <c r="D13" i="39"/>
  <c r="I14" i="39" s="1"/>
  <c r="D13" i="37"/>
  <c r="I14" i="37" s="1"/>
  <c r="D13" i="11"/>
  <c r="I14" i="11" s="1"/>
  <c r="D13" i="38"/>
  <c r="I14" i="38" s="1"/>
  <c r="D13" i="3"/>
  <c r="I14" i="3" s="1"/>
  <c r="D13" i="7"/>
  <c r="I14" i="7" s="1"/>
  <c r="D13" i="30"/>
  <c r="I14" i="30" s="1"/>
  <c r="D13" i="44"/>
  <c r="I14" i="44" s="1"/>
  <c r="M87" i="31"/>
  <c r="N87" i="22"/>
  <c r="O87" i="22" s="1"/>
  <c r="L86" i="3"/>
  <c r="N87" i="31"/>
  <c r="M87" i="42"/>
  <c r="L86" i="39"/>
  <c r="M87" i="8"/>
  <c r="N87" i="8"/>
  <c r="M87" i="29"/>
  <c r="N87" i="29"/>
  <c r="L86" i="22"/>
  <c r="M87" i="13"/>
  <c r="L86" i="44"/>
  <c r="M87" i="7"/>
  <c r="N87" i="5"/>
  <c r="O87" i="5" s="1"/>
  <c r="N87" i="27"/>
  <c r="M87" i="27"/>
  <c r="N87" i="24"/>
  <c r="N87" i="30"/>
  <c r="N87" i="40"/>
  <c r="O87" i="40" s="1"/>
  <c r="M87" i="44"/>
  <c r="O87" i="44" s="1"/>
  <c r="N87" i="7"/>
  <c r="O87" i="7" s="1"/>
  <c r="M87" i="43"/>
  <c r="O87" i="43" s="1"/>
  <c r="M87" i="24"/>
  <c r="L86" i="43"/>
  <c r="M87" i="30"/>
  <c r="M87" i="39"/>
  <c r="O87" i="39" s="1"/>
  <c r="L86" i="9"/>
  <c r="O87" i="23"/>
  <c r="N87" i="38"/>
  <c r="M87" i="38"/>
  <c r="M87" i="6"/>
  <c r="N87" i="6"/>
  <c r="L86" i="11"/>
  <c r="M87" i="37"/>
  <c r="O87" i="37" s="1"/>
  <c r="M87" i="4"/>
  <c r="E100" i="13"/>
  <c r="F100" i="13" s="1"/>
  <c r="D101" i="13" s="1"/>
  <c r="E101" i="13" s="1"/>
  <c r="B19" i="44"/>
  <c r="D18" i="13"/>
  <c r="G17" i="13"/>
  <c r="B18" i="45"/>
  <c r="C100" i="38"/>
  <c r="C101" i="38" s="1"/>
  <c r="C102" i="38" s="1"/>
  <c r="C103" i="38" s="1"/>
  <c r="C104" i="38" s="1"/>
  <c r="C105" i="38" s="1"/>
  <c r="C106" i="38" s="1"/>
  <c r="C107" i="38" s="1"/>
  <c r="C108" i="38" s="1"/>
  <c r="C109" i="38" s="1"/>
  <c r="C110" i="38" s="1"/>
  <c r="C111" i="38" s="1"/>
  <c r="C112" i="38" s="1"/>
  <c r="C113" i="38" s="1"/>
  <c r="C114" i="38" s="1"/>
  <c r="C115" i="38" s="1"/>
  <c r="C116" i="38" s="1"/>
  <c r="C117" i="38" s="1"/>
  <c r="C118" i="38" s="1"/>
  <c r="C119" i="38" s="1"/>
  <c r="C120" i="38" s="1"/>
  <c r="C121" i="38" s="1"/>
  <c r="C122" i="38" s="1"/>
  <c r="C123" i="38" s="1"/>
  <c r="C124" i="38" s="1"/>
  <c r="C125" i="38" s="1"/>
  <c r="C126" i="38" s="1"/>
  <c r="C127" i="38" s="1"/>
  <c r="C128" i="38" s="1"/>
  <c r="C129" i="38" s="1"/>
  <c r="C130" i="38" s="1"/>
  <c r="C131" i="38" s="1"/>
  <c r="C132" i="38" s="1"/>
  <c r="C133" i="38" s="1"/>
  <c r="C134" i="38" s="1"/>
  <c r="C135" i="38" s="1"/>
  <c r="C136" i="38" s="1"/>
  <c r="C137" i="38" s="1"/>
  <c r="C138" i="38" s="1"/>
  <c r="C139" i="38" s="1"/>
  <c r="C140" i="38" s="1"/>
  <c r="C141" i="38" s="1"/>
  <c r="C142" i="38" s="1"/>
  <c r="C143" i="38" s="1"/>
  <c r="C144" i="38" s="1"/>
  <c r="C145" i="38" s="1"/>
  <c r="C146" i="38" s="1"/>
  <c r="C147" i="38" s="1"/>
  <c r="C148" i="38" s="1"/>
  <c r="C149" i="38" s="1"/>
  <c r="C150" i="38" s="1"/>
  <c r="C151" i="38" s="1"/>
  <c r="C152" i="38" s="1"/>
  <c r="C153" i="38" s="1"/>
  <c r="C154" i="38" s="1"/>
  <c r="C99" i="22"/>
  <c r="C100" i="22" s="1"/>
  <c r="C101" i="22" s="1"/>
  <c r="C102" i="22" s="1"/>
  <c r="C103" i="22" s="1"/>
  <c r="C104" i="22" s="1"/>
  <c r="C105" i="22" s="1"/>
  <c r="C106" i="22" s="1"/>
  <c r="C107" i="22" s="1"/>
  <c r="C108" i="22" s="1"/>
  <c r="C109" i="22" s="1"/>
  <c r="C110" i="22" s="1"/>
  <c r="C111" i="22" s="1"/>
  <c r="C112" i="22" s="1"/>
  <c r="C113" i="22" s="1"/>
  <c r="C114" i="22" s="1"/>
  <c r="C115" i="22" s="1"/>
  <c r="C116" i="22" s="1"/>
  <c r="C117" i="22" s="1"/>
  <c r="C118" i="22" s="1"/>
  <c r="C119" i="22" s="1"/>
  <c r="C120" i="22" s="1"/>
  <c r="C121" i="22" s="1"/>
  <c r="C122" i="22" s="1"/>
  <c r="C123" i="22" s="1"/>
  <c r="C124" i="22" s="1"/>
  <c r="C125" i="22" s="1"/>
  <c r="C126" i="22" s="1"/>
  <c r="C127" i="22" s="1"/>
  <c r="C128" i="22" s="1"/>
  <c r="C129" i="22" s="1"/>
  <c r="C130" i="22" s="1"/>
  <c r="C131" i="22" s="1"/>
  <c r="C132" i="22" s="1"/>
  <c r="C133" i="22" s="1"/>
  <c r="C134" i="22" s="1"/>
  <c r="C135" i="22" s="1"/>
  <c r="C136" i="22" s="1"/>
  <c r="C137" i="22" s="1"/>
  <c r="C138" i="22" s="1"/>
  <c r="C139" i="22" s="1"/>
  <c r="C140" i="22" s="1"/>
  <c r="C141" i="22" s="1"/>
  <c r="C142" i="22" s="1"/>
  <c r="C143" i="22" s="1"/>
  <c r="C144" i="22" s="1"/>
  <c r="C145" i="22" s="1"/>
  <c r="C146" i="22" s="1"/>
  <c r="C147" i="22" s="1"/>
  <c r="C148" i="22" s="1"/>
  <c r="C149" i="22" s="1"/>
  <c r="C150" i="22" s="1"/>
  <c r="C151" i="22" s="1"/>
  <c r="C152" i="22" s="1"/>
  <c r="C153" i="22" s="1"/>
  <c r="C154" i="22" s="1"/>
  <c r="O87" i="9"/>
  <c r="M87" i="46"/>
  <c r="N87" i="46"/>
  <c r="L86" i="46"/>
  <c r="O87" i="10"/>
  <c r="O87" i="41"/>
  <c r="C99" i="29"/>
  <c r="C100" i="29" s="1"/>
  <c r="C101" i="29" s="1"/>
  <c r="C102" i="29" s="1"/>
  <c r="C103" i="29" s="1"/>
  <c r="C104" i="29" s="1"/>
  <c r="C105" i="29" s="1"/>
  <c r="C106" i="29" s="1"/>
  <c r="C107" i="29" s="1"/>
  <c r="C108" i="29" s="1"/>
  <c r="C109" i="29" s="1"/>
  <c r="C110" i="29" s="1"/>
  <c r="C111" i="29" s="1"/>
  <c r="C112" i="29" s="1"/>
  <c r="C113" i="29" s="1"/>
  <c r="C114" i="29" s="1"/>
  <c r="C115" i="29" s="1"/>
  <c r="C116" i="29" s="1"/>
  <c r="C117" i="29" s="1"/>
  <c r="C118" i="29" s="1"/>
  <c r="C119" i="29" s="1"/>
  <c r="C120" i="29" s="1"/>
  <c r="C121" i="29" s="1"/>
  <c r="C122" i="29" s="1"/>
  <c r="C123" i="29" s="1"/>
  <c r="C124" i="29" s="1"/>
  <c r="C125" i="29" s="1"/>
  <c r="C126" i="29" s="1"/>
  <c r="C127" i="29" s="1"/>
  <c r="C128" i="29" s="1"/>
  <c r="C129" i="29" s="1"/>
  <c r="C130" i="29" s="1"/>
  <c r="C131" i="29" s="1"/>
  <c r="C132" i="29" s="1"/>
  <c r="C133" i="29" s="1"/>
  <c r="C134" i="29" s="1"/>
  <c r="C135" i="29" s="1"/>
  <c r="C136" i="29" s="1"/>
  <c r="C137" i="29" s="1"/>
  <c r="C138" i="29" s="1"/>
  <c r="C139" i="29" s="1"/>
  <c r="C140" i="29" s="1"/>
  <c r="C141" i="29" s="1"/>
  <c r="C142" i="29" s="1"/>
  <c r="C143" i="29" s="1"/>
  <c r="C144" i="29" s="1"/>
  <c r="C145" i="29" s="1"/>
  <c r="C146" i="29" s="1"/>
  <c r="C147" i="29" s="1"/>
  <c r="C148" i="29" s="1"/>
  <c r="C149" i="29" s="1"/>
  <c r="C150" i="29" s="1"/>
  <c r="C151" i="29" s="1"/>
  <c r="C152" i="29" s="1"/>
  <c r="C153" i="29" s="1"/>
  <c r="C154" i="29" s="1"/>
  <c r="I13" i="44"/>
  <c r="I13" i="45"/>
  <c r="C99" i="7"/>
  <c r="C100" i="7" s="1"/>
  <c r="C101" i="7" s="1"/>
  <c r="C102" i="7" s="1"/>
  <c r="C103" i="7" s="1"/>
  <c r="C104" i="7" s="1"/>
  <c r="C105" i="7" s="1"/>
  <c r="C106" i="7" s="1"/>
  <c r="C107" i="7" s="1"/>
  <c r="C108" i="7" s="1"/>
  <c r="C109" i="7" s="1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C133" i="7" s="1"/>
  <c r="C134" i="7" s="1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99" i="8"/>
  <c r="C100" i="8" s="1"/>
  <c r="C101" i="8" s="1"/>
  <c r="C102" i="8" s="1"/>
  <c r="C103" i="8" s="1"/>
  <c r="C104" i="8" s="1"/>
  <c r="C105" i="8" s="1"/>
  <c r="C106" i="8" s="1"/>
  <c r="C107" i="8" s="1"/>
  <c r="C108" i="8" s="1"/>
  <c r="C109" i="8" s="1"/>
  <c r="C110" i="8" s="1"/>
  <c r="C111" i="8" s="1"/>
  <c r="C112" i="8" s="1"/>
  <c r="C113" i="8" s="1"/>
  <c r="C114" i="8" s="1"/>
  <c r="C115" i="8" s="1"/>
  <c r="C116" i="8" s="1"/>
  <c r="C117" i="8" s="1"/>
  <c r="C118" i="8" s="1"/>
  <c r="C119" i="8" s="1"/>
  <c r="C120" i="8" s="1"/>
  <c r="C121" i="8" s="1"/>
  <c r="C122" i="8" s="1"/>
  <c r="C123" i="8" s="1"/>
  <c r="C124" i="8" s="1"/>
  <c r="C125" i="8" s="1"/>
  <c r="C126" i="8" s="1"/>
  <c r="C127" i="8" s="1"/>
  <c r="C128" i="8" s="1"/>
  <c r="C129" i="8" s="1"/>
  <c r="C130" i="8" s="1"/>
  <c r="C131" i="8" s="1"/>
  <c r="C132" i="8" s="1"/>
  <c r="C133" i="8" s="1"/>
  <c r="C134" i="8" s="1"/>
  <c r="C135" i="8" s="1"/>
  <c r="C136" i="8" s="1"/>
  <c r="C137" i="8" s="1"/>
  <c r="C138" i="8" s="1"/>
  <c r="C139" i="8" s="1"/>
  <c r="C140" i="8" s="1"/>
  <c r="C141" i="8" s="1"/>
  <c r="C142" i="8" s="1"/>
  <c r="C143" i="8" s="1"/>
  <c r="C144" i="8" s="1"/>
  <c r="C145" i="8" s="1"/>
  <c r="C146" i="8" s="1"/>
  <c r="C147" i="8" s="1"/>
  <c r="C148" i="8" s="1"/>
  <c r="C149" i="8" s="1"/>
  <c r="C150" i="8" s="1"/>
  <c r="C151" i="8" s="1"/>
  <c r="C152" i="8" s="1"/>
  <c r="C153" i="8" s="1"/>
  <c r="C154" i="8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60" i="45" s="1"/>
  <c r="C61" i="45" s="1"/>
  <c r="C62" i="45" s="1"/>
  <c r="C63" i="45" s="1"/>
  <c r="C64" i="45" s="1"/>
  <c r="C65" i="45" s="1"/>
  <c r="C66" i="45" s="1"/>
  <c r="C67" i="45" s="1"/>
  <c r="C68" i="45" s="1"/>
  <c r="C69" i="45" s="1"/>
  <c r="C70" i="45" s="1"/>
  <c r="C71" i="45" s="1"/>
  <c r="C72" i="45" s="1"/>
  <c r="N87" i="45"/>
  <c r="I13" i="46"/>
  <c r="C99" i="9"/>
  <c r="C100" i="9" s="1"/>
  <c r="C101" i="9" s="1"/>
  <c r="C102" i="9" s="1"/>
  <c r="C103" i="9" s="1"/>
  <c r="C104" i="9" s="1"/>
  <c r="C105" i="9" s="1"/>
  <c r="C106" i="9" s="1"/>
  <c r="C107" i="9" s="1"/>
  <c r="C108" i="9" s="1"/>
  <c r="C109" i="9" s="1"/>
  <c r="C110" i="9" s="1"/>
  <c r="C111" i="9" s="1"/>
  <c r="C112" i="9" s="1"/>
  <c r="C113" i="9" s="1"/>
  <c r="C114" i="9" s="1"/>
  <c r="C115" i="9" s="1"/>
  <c r="C116" i="9" s="1"/>
  <c r="C117" i="9" s="1"/>
  <c r="C118" i="9" s="1"/>
  <c r="C119" i="9" s="1"/>
  <c r="C120" i="9" s="1"/>
  <c r="C121" i="9" s="1"/>
  <c r="C122" i="9" s="1"/>
  <c r="C123" i="9" s="1"/>
  <c r="C124" i="9" s="1"/>
  <c r="C125" i="9" s="1"/>
  <c r="C126" i="9" s="1"/>
  <c r="C127" i="9" s="1"/>
  <c r="C128" i="9" s="1"/>
  <c r="C129" i="9" s="1"/>
  <c r="C130" i="9" s="1"/>
  <c r="C131" i="9" s="1"/>
  <c r="C132" i="9" s="1"/>
  <c r="C133" i="9" s="1"/>
  <c r="C134" i="9" s="1"/>
  <c r="C135" i="9" s="1"/>
  <c r="C136" i="9" s="1"/>
  <c r="C137" i="9" s="1"/>
  <c r="C138" i="9" s="1"/>
  <c r="C139" i="9" s="1"/>
  <c r="C140" i="9" s="1"/>
  <c r="C141" i="9" s="1"/>
  <c r="C142" i="9" s="1"/>
  <c r="C143" i="9" s="1"/>
  <c r="C144" i="9" s="1"/>
  <c r="C145" i="9" s="1"/>
  <c r="C146" i="9" s="1"/>
  <c r="C147" i="9" s="1"/>
  <c r="C148" i="9" s="1"/>
  <c r="C149" i="9" s="1"/>
  <c r="C150" i="9" s="1"/>
  <c r="C151" i="9" s="1"/>
  <c r="C152" i="9" s="1"/>
  <c r="C153" i="9" s="1"/>
  <c r="C154" i="9" s="1"/>
  <c r="J95" i="43"/>
  <c r="J95" i="38"/>
  <c r="J95" i="13"/>
  <c r="I99" i="13" s="1"/>
  <c r="H99" i="13"/>
  <c r="O87" i="28"/>
  <c r="D31" i="17"/>
  <c r="D34" i="17"/>
  <c r="C40" i="17"/>
  <c r="D27" i="17"/>
  <c r="D18" i="17"/>
  <c r="D23" i="17"/>
  <c r="D21" i="17"/>
  <c r="D25" i="17"/>
  <c r="D28" i="17"/>
  <c r="C43" i="17"/>
  <c r="D42" i="17"/>
  <c r="C42" i="17"/>
  <c r="D39" i="17"/>
  <c r="D38" i="17"/>
  <c r="C24" i="17"/>
  <c r="C31" i="17"/>
  <c r="D41" i="17"/>
  <c r="D33" i="17"/>
  <c r="C22" i="17"/>
  <c r="D35" i="17"/>
  <c r="D30" i="17"/>
  <c r="C41" i="17"/>
  <c r="C21" i="17"/>
  <c r="D24" i="17"/>
  <c r="D22" i="17"/>
  <c r="C34" i="17"/>
  <c r="C25" i="17"/>
  <c r="E32" i="2" l="1"/>
  <c r="O87" i="4"/>
  <c r="O87" i="42"/>
  <c r="I17" i="13"/>
  <c r="O87" i="13"/>
  <c r="J100" i="49"/>
  <c r="I99" i="48"/>
  <c r="I100" i="48"/>
  <c r="J100" i="48" s="1"/>
  <c r="J99" i="49"/>
  <c r="N99" i="49"/>
  <c r="O99" i="49" s="1"/>
  <c r="P99" i="49" s="1"/>
  <c r="E25" i="1"/>
  <c r="E26" i="1" s="1"/>
  <c r="F53" i="1" s="1"/>
  <c r="M17" i="49"/>
  <c r="N17" i="49" s="1"/>
  <c r="I17" i="49"/>
  <c r="N6" i="49"/>
  <c r="K17" i="49"/>
  <c r="L17" i="49" s="1"/>
  <c r="N5" i="49"/>
  <c r="M89" i="47"/>
  <c r="D102" i="49"/>
  <c r="B102" i="49" s="1"/>
  <c r="G101" i="49"/>
  <c r="H101" i="48"/>
  <c r="I101" i="48"/>
  <c r="E102" i="48"/>
  <c r="F102" i="48" s="1"/>
  <c r="B102" i="48"/>
  <c r="O87" i="48"/>
  <c r="E18" i="49"/>
  <c r="F18" i="49" s="1"/>
  <c r="E19" i="49" s="1"/>
  <c r="E17" i="47"/>
  <c r="F17" i="47" s="1"/>
  <c r="E18" i="47" s="1"/>
  <c r="E17" i="48"/>
  <c r="F17" i="48" s="1"/>
  <c r="M89" i="49"/>
  <c r="N89" i="47"/>
  <c r="O88" i="47"/>
  <c r="N89" i="48"/>
  <c r="O88" i="48"/>
  <c r="O87" i="49"/>
  <c r="O87" i="47"/>
  <c r="N89" i="49"/>
  <c r="O88" i="49"/>
  <c r="M89" i="48"/>
  <c r="O87" i="29"/>
  <c r="O87" i="30"/>
  <c r="O87" i="24"/>
  <c r="O87" i="27"/>
  <c r="O87" i="8"/>
  <c r="O87" i="31"/>
  <c r="O87" i="6"/>
  <c r="O87" i="38"/>
  <c r="N17" i="2"/>
  <c r="R132" i="2" s="1"/>
  <c r="B101" i="13"/>
  <c r="F101" i="13"/>
  <c r="G101" i="13" s="1"/>
  <c r="E33" i="2"/>
  <c r="E37" i="2" s="1"/>
  <c r="F54" i="2" s="1"/>
  <c r="F53" i="2"/>
  <c r="O17" i="2"/>
  <c r="R133" i="2" s="1"/>
  <c r="G100" i="13"/>
  <c r="H100" i="13" s="1"/>
  <c r="B19" i="45"/>
  <c r="K18" i="45"/>
  <c r="L18" i="45" s="1"/>
  <c r="B18" i="13"/>
  <c r="E18" i="13"/>
  <c r="F18" i="13" s="1"/>
  <c r="D19" i="13" s="1"/>
  <c r="B23" i="27"/>
  <c r="D99" i="7"/>
  <c r="O87" i="46"/>
  <c r="O87" i="45"/>
  <c r="B20" i="37"/>
  <c r="I17" i="46"/>
  <c r="I19" i="37"/>
  <c r="M18" i="45"/>
  <c r="N18" i="45" s="1"/>
  <c r="B31" i="10"/>
  <c r="I30" i="10"/>
  <c r="E30" i="1"/>
  <c r="E33" i="1" s="1"/>
  <c r="D19" i="46"/>
  <c r="E19" i="46" s="1"/>
  <c r="J99" i="13"/>
  <c r="I47" i="17"/>
  <c r="I46" i="17"/>
  <c r="E48" i="17"/>
  <c r="I48" i="17"/>
  <c r="O17" i="49" l="1"/>
  <c r="N99" i="48"/>
  <c r="O99" i="48" s="1"/>
  <c r="P99" i="48" s="1"/>
  <c r="J99" i="48"/>
  <c r="N7" i="49"/>
  <c r="E102" i="49"/>
  <c r="F102" i="49" s="1"/>
  <c r="G102" i="49" s="1"/>
  <c r="O89" i="48"/>
  <c r="V46" i="17"/>
  <c r="H101" i="49"/>
  <c r="I101" i="49"/>
  <c r="G102" i="48"/>
  <c r="D103" i="48"/>
  <c r="J101" i="48"/>
  <c r="O89" i="49"/>
  <c r="H17" i="47"/>
  <c r="N6" i="47" s="1"/>
  <c r="G17" i="47"/>
  <c r="D18" i="47"/>
  <c r="H17" i="48"/>
  <c r="N6" i="48" s="1"/>
  <c r="D18" i="48"/>
  <c r="G17" i="48"/>
  <c r="H18" i="49"/>
  <c r="D19" i="49"/>
  <c r="G18" i="49"/>
  <c r="E18" i="48"/>
  <c r="V47" i="17"/>
  <c r="V48" i="17"/>
  <c r="O89" i="47"/>
  <c r="E37" i="1"/>
  <c r="F54" i="1" s="1"/>
  <c r="F55" i="1" s="1"/>
  <c r="O18" i="45"/>
  <c r="N29" i="2"/>
  <c r="I18" i="45"/>
  <c r="P17" i="2"/>
  <c r="I100" i="13"/>
  <c r="J100" i="13" s="1"/>
  <c r="D102" i="13"/>
  <c r="B102" i="13" s="1"/>
  <c r="F55" i="2"/>
  <c r="F62" i="2" s="1"/>
  <c r="F65" i="2" s="1"/>
  <c r="F67" i="2" s="1"/>
  <c r="F69" i="2" s="1"/>
  <c r="F70" i="2" s="1"/>
  <c r="F71" i="2" s="1"/>
  <c r="F56" i="2" s="1"/>
  <c r="F57" i="2" s="1"/>
  <c r="G18" i="13"/>
  <c r="D20" i="44"/>
  <c r="H18" i="13"/>
  <c r="I18" i="46"/>
  <c r="E19" i="13"/>
  <c r="F19" i="13" s="1"/>
  <c r="B19" i="13"/>
  <c r="B30" i="9"/>
  <c r="B19" i="46"/>
  <c r="F19" i="46"/>
  <c r="G19" i="46" s="1"/>
  <c r="N5" i="46" s="1"/>
  <c r="I29" i="9"/>
  <c r="I17" i="45"/>
  <c r="I20" i="37"/>
  <c r="H101" i="13"/>
  <c r="I101" i="13"/>
  <c r="F48" i="17"/>
  <c r="E45" i="17"/>
  <c r="D103" i="49" l="1"/>
  <c r="B103" i="49" s="1"/>
  <c r="G48" i="17"/>
  <c r="K17" i="47"/>
  <c r="L17" i="47" s="1"/>
  <c r="N5" i="47"/>
  <c r="K17" i="48"/>
  <c r="L17" i="48" s="1"/>
  <c r="N5" i="48"/>
  <c r="N7" i="48" s="1"/>
  <c r="I18" i="49"/>
  <c r="E103" i="48"/>
  <c r="F103" i="48" s="1"/>
  <c r="B103" i="48"/>
  <c r="I102" i="48"/>
  <c r="H102" i="48"/>
  <c r="J101" i="49"/>
  <c r="I102" i="49"/>
  <c r="H102" i="49"/>
  <c r="F18" i="47"/>
  <c r="G18" i="47" s="1"/>
  <c r="B18" i="47"/>
  <c r="I18" i="13"/>
  <c r="B18" i="48"/>
  <c r="F18" i="48"/>
  <c r="G18" i="48" s="1"/>
  <c r="M17" i="47"/>
  <c r="N17" i="47" s="1"/>
  <c r="I17" i="47"/>
  <c r="F19" i="49"/>
  <c r="H19" i="49" s="1"/>
  <c r="B19" i="49"/>
  <c r="I17" i="48"/>
  <c r="M17" i="48"/>
  <c r="N17" i="48" s="1"/>
  <c r="D20" i="45"/>
  <c r="E20" i="45" s="1"/>
  <c r="I19" i="44"/>
  <c r="E102" i="13"/>
  <c r="F102" i="13" s="1"/>
  <c r="E20" i="44"/>
  <c r="F20" i="44" s="1"/>
  <c r="B20" i="44"/>
  <c r="G19" i="13"/>
  <c r="D20" i="13"/>
  <c r="H19" i="13"/>
  <c r="I23" i="27"/>
  <c r="B24" i="27"/>
  <c r="B28" i="5"/>
  <c r="I19" i="38"/>
  <c r="B23" i="31"/>
  <c r="I26" i="25"/>
  <c r="I24" i="24"/>
  <c r="B19" i="41"/>
  <c r="F20" i="45"/>
  <c r="H20" i="45" s="1"/>
  <c r="N6" i="45" s="1"/>
  <c r="I28" i="6"/>
  <c r="I28" i="8"/>
  <c r="I29" i="11"/>
  <c r="I27" i="5"/>
  <c r="I19" i="39"/>
  <c r="I22" i="29"/>
  <c r="I27" i="3"/>
  <c r="I18" i="42"/>
  <c r="B23" i="28"/>
  <c r="B22" i="30"/>
  <c r="D20" i="46"/>
  <c r="E20" i="46" s="1"/>
  <c r="I26" i="22"/>
  <c r="B25" i="24"/>
  <c r="I25" i="23"/>
  <c r="I18" i="41"/>
  <c r="I17" i="43"/>
  <c r="I30" i="7"/>
  <c r="H19" i="46"/>
  <c r="N6" i="46" s="1"/>
  <c r="B20" i="39"/>
  <c r="B19" i="40"/>
  <c r="B19" i="42"/>
  <c r="B32" i="10"/>
  <c r="B28" i="4"/>
  <c r="B18" i="43"/>
  <c r="B29" i="6"/>
  <c r="B27" i="25"/>
  <c r="B26" i="23"/>
  <c r="I27" i="4"/>
  <c r="B21" i="37"/>
  <c r="B31" i="7"/>
  <c r="B29" i="8"/>
  <c r="B30" i="11"/>
  <c r="F62" i="1"/>
  <c r="F65" i="1" s="1"/>
  <c r="F67" i="1" s="1"/>
  <c r="F69" i="1" s="1"/>
  <c r="F76" i="1"/>
  <c r="F77" i="1" s="1"/>
  <c r="B23" i="29"/>
  <c r="B28" i="3"/>
  <c r="I18" i="40"/>
  <c r="I31" i="10"/>
  <c r="I22" i="28"/>
  <c r="B20" i="38"/>
  <c r="B27" i="22"/>
  <c r="I22" i="31"/>
  <c r="I21" i="30"/>
  <c r="F59" i="2"/>
  <c r="F79" i="2" s="1"/>
  <c r="F80" i="2" s="1"/>
  <c r="F82" i="2" s="1"/>
  <c r="F76" i="2"/>
  <c r="F77" i="2" s="1"/>
  <c r="J101" i="13"/>
  <c r="E46" i="17"/>
  <c r="F47" i="17"/>
  <c r="E47" i="17"/>
  <c r="E103" i="49" l="1"/>
  <c r="F103" i="49" s="1"/>
  <c r="O17" i="47"/>
  <c r="G47" i="17"/>
  <c r="H18" i="48"/>
  <c r="I18" i="48" s="1"/>
  <c r="N7" i="47"/>
  <c r="O17" i="48"/>
  <c r="J102" i="48"/>
  <c r="J102" i="49"/>
  <c r="D104" i="48"/>
  <c r="B104" i="48" s="1"/>
  <c r="G103" i="48"/>
  <c r="D20" i="49"/>
  <c r="E20" i="49"/>
  <c r="G19" i="49"/>
  <c r="I19" i="49" s="1"/>
  <c r="D19" i="48"/>
  <c r="E19" i="48"/>
  <c r="H18" i="47"/>
  <c r="I18" i="47" s="1"/>
  <c r="D19" i="47"/>
  <c r="E19" i="47"/>
  <c r="B20" i="45"/>
  <c r="I19" i="45"/>
  <c r="H20" i="44"/>
  <c r="N6" i="44" s="1"/>
  <c r="G20" i="44"/>
  <c r="N5" i="44" s="1"/>
  <c r="D21" i="44"/>
  <c r="G20" i="45"/>
  <c r="I19" i="13"/>
  <c r="E20" i="13"/>
  <c r="F20" i="13" s="1"/>
  <c r="B20" i="13"/>
  <c r="I18" i="43"/>
  <c r="I20" i="38"/>
  <c r="I20" i="39"/>
  <c r="F70" i="1"/>
  <c r="F71" i="1" s="1"/>
  <c r="F56" i="1" s="1"/>
  <c r="F57" i="1" s="1"/>
  <c r="F59" i="1" s="1"/>
  <c r="F79" i="1" s="1"/>
  <c r="F80" i="1" s="1"/>
  <c r="F82" i="1" s="1"/>
  <c r="I19" i="46"/>
  <c r="N7" i="46"/>
  <c r="B31" i="9"/>
  <c r="E22" i="37"/>
  <c r="D22" i="37"/>
  <c r="I30" i="9"/>
  <c r="E33" i="10"/>
  <c r="D33" i="10"/>
  <c r="F20" i="46"/>
  <c r="H20" i="46" s="1"/>
  <c r="B20" i="46"/>
  <c r="D21" i="45"/>
  <c r="E21" i="45" s="1"/>
  <c r="G102" i="13"/>
  <c r="D103" i="13"/>
  <c r="E43" i="17"/>
  <c r="F45" i="17"/>
  <c r="F46" i="17"/>
  <c r="D104" i="49" l="1"/>
  <c r="G103" i="49"/>
  <c r="E104" i="48"/>
  <c r="F104" i="48" s="1"/>
  <c r="D105" i="48" s="1"/>
  <c r="B105" i="48" s="1"/>
  <c r="N7" i="44"/>
  <c r="G46" i="17"/>
  <c r="I20" i="45"/>
  <c r="N5" i="45"/>
  <c r="I103" i="48"/>
  <c r="H103" i="48"/>
  <c r="F19" i="47"/>
  <c r="G19" i="47" s="1"/>
  <c r="B19" i="47"/>
  <c r="F19" i="48"/>
  <c r="B19" i="48"/>
  <c r="F20" i="49"/>
  <c r="B20" i="49"/>
  <c r="G45" i="17"/>
  <c r="I20" i="44"/>
  <c r="E21" i="44"/>
  <c r="F21" i="44" s="1"/>
  <c r="B21" i="44"/>
  <c r="G20" i="46"/>
  <c r="I20" i="46" s="1"/>
  <c r="D21" i="13"/>
  <c r="H20" i="13"/>
  <c r="G20" i="13"/>
  <c r="B25" i="27"/>
  <c r="I24" i="27"/>
  <c r="B20" i="41"/>
  <c r="B24" i="29"/>
  <c r="I31" i="7"/>
  <c r="I29" i="8"/>
  <c r="B29" i="5"/>
  <c r="F21" i="45"/>
  <c r="G21" i="45" s="1"/>
  <c r="B21" i="45"/>
  <c r="B33" i="10"/>
  <c r="F33" i="10"/>
  <c r="B26" i="24"/>
  <c r="I27" i="25"/>
  <c r="I26" i="23"/>
  <c r="I30" i="11"/>
  <c r="B30" i="6"/>
  <c r="I23" i="28"/>
  <c r="I22" i="30"/>
  <c r="I28" i="4"/>
  <c r="B30" i="8"/>
  <c r="B28" i="22"/>
  <c r="I19" i="41"/>
  <c r="B19" i="43"/>
  <c r="I23" i="31"/>
  <c r="I28" i="3"/>
  <c r="I19" i="42"/>
  <c r="I25" i="24"/>
  <c r="D32" i="9"/>
  <c r="E32" i="9"/>
  <c r="B24" i="31"/>
  <c r="B21" i="39"/>
  <c r="B27" i="23"/>
  <c r="B23" i="30"/>
  <c r="B20" i="42"/>
  <c r="B29" i="4"/>
  <c r="B32" i="7"/>
  <c r="F22" i="37"/>
  <c r="H22" i="37" s="1"/>
  <c r="N6" i="37" s="1"/>
  <c r="B22" i="37"/>
  <c r="I28" i="5"/>
  <c r="D21" i="46"/>
  <c r="E21" i="46" s="1"/>
  <c r="I32" i="10"/>
  <c r="B28" i="25"/>
  <c r="B31" i="11"/>
  <c r="B20" i="40"/>
  <c r="I29" i="6"/>
  <c r="I23" i="29"/>
  <c r="B24" i="28"/>
  <c r="B29" i="3"/>
  <c r="B21" i="38"/>
  <c r="I27" i="22"/>
  <c r="I19" i="40"/>
  <c r="I21" i="37"/>
  <c r="B103" i="13"/>
  <c r="E103" i="13"/>
  <c r="F103" i="13" s="1"/>
  <c r="I102" i="13"/>
  <c r="H102" i="13"/>
  <c r="E44" i="17"/>
  <c r="F43" i="17"/>
  <c r="G104" i="48" l="1"/>
  <c r="H103" i="49"/>
  <c r="I103" i="49"/>
  <c r="J103" i="49" s="1"/>
  <c r="B104" i="49"/>
  <c r="E104" i="49"/>
  <c r="F104" i="49" s="1"/>
  <c r="G43" i="17"/>
  <c r="J103" i="48"/>
  <c r="N7" i="45"/>
  <c r="H104" i="48"/>
  <c r="I104" i="48"/>
  <c r="E105" i="48"/>
  <c r="F105" i="48" s="1"/>
  <c r="H19" i="48"/>
  <c r="D20" i="48"/>
  <c r="E20" i="48"/>
  <c r="D21" i="49"/>
  <c r="E21" i="49"/>
  <c r="G20" i="49"/>
  <c r="G19" i="48"/>
  <c r="H20" i="49"/>
  <c r="H19" i="47"/>
  <c r="I19" i="47" s="1"/>
  <c r="D20" i="47"/>
  <c r="E20" i="47"/>
  <c r="H21" i="44"/>
  <c r="D22" i="44"/>
  <c r="G21" i="44"/>
  <c r="I20" i="13"/>
  <c r="E21" i="13"/>
  <c r="F21" i="13" s="1"/>
  <c r="G21" i="13" s="1"/>
  <c r="B21" i="13"/>
  <c r="E26" i="27"/>
  <c r="D26" i="27"/>
  <c r="D22" i="38"/>
  <c r="E22" i="38"/>
  <c r="D32" i="11"/>
  <c r="E32" i="11"/>
  <c r="D22" i="39"/>
  <c r="E22" i="39"/>
  <c r="D31" i="8"/>
  <c r="E31" i="8"/>
  <c r="D25" i="29"/>
  <c r="E25" i="29"/>
  <c r="D30" i="3"/>
  <c r="E30" i="3"/>
  <c r="D25" i="28"/>
  <c r="E25" i="28"/>
  <c r="F21" i="46"/>
  <c r="H21" i="46" s="1"/>
  <c r="B21" i="46"/>
  <c r="D30" i="4"/>
  <c r="E30" i="4"/>
  <c r="D21" i="42"/>
  <c r="E21" i="42"/>
  <c r="D28" i="23"/>
  <c r="E28" i="23"/>
  <c r="D25" i="31"/>
  <c r="E25" i="31"/>
  <c r="B32" i="9"/>
  <c r="F32" i="9"/>
  <c r="D27" i="24"/>
  <c r="E27" i="24"/>
  <c r="H33" i="10"/>
  <c r="N6" i="10" s="1"/>
  <c r="D34" i="10"/>
  <c r="E34" i="10"/>
  <c r="G33" i="10"/>
  <c r="N5" i="10" s="1"/>
  <c r="D21" i="41"/>
  <c r="E21" i="41"/>
  <c r="E23" i="37"/>
  <c r="D23" i="37"/>
  <c r="D24" i="30"/>
  <c r="E24" i="30"/>
  <c r="D22" i="45"/>
  <c r="E22" i="45" s="1"/>
  <c r="D21" i="40"/>
  <c r="E21" i="40"/>
  <c r="D29" i="25"/>
  <c r="E29" i="25"/>
  <c r="G22" i="37"/>
  <c r="D33" i="7"/>
  <c r="E33" i="7"/>
  <c r="I31" i="9"/>
  <c r="D29" i="22"/>
  <c r="E29" i="22"/>
  <c r="D31" i="6"/>
  <c r="E31" i="6"/>
  <c r="H21" i="45"/>
  <c r="D30" i="5"/>
  <c r="E30" i="5"/>
  <c r="G103" i="13"/>
  <c r="D104" i="13"/>
  <c r="E104" i="13" s="1"/>
  <c r="J102" i="13"/>
  <c r="E25" i="17"/>
  <c r="F44" i="17"/>
  <c r="J104" i="48" l="1"/>
  <c r="G104" i="49"/>
  <c r="D105" i="49"/>
  <c r="B105" i="49" s="1"/>
  <c r="E105" i="49"/>
  <c r="F105" i="49" s="1"/>
  <c r="G105" i="49" s="1"/>
  <c r="I105" i="49" s="1"/>
  <c r="N7" i="10"/>
  <c r="I20" i="49"/>
  <c r="G44" i="17"/>
  <c r="I22" i="37"/>
  <c r="N5" i="37"/>
  <c r="I19" i="48"/>
  <c r="G105" i="48"/>
  <c r="D106" i="48"/>
  <c r="B106" i="48" s="1"/>
  <c r="B21" i="49"/>
  <c r="F21" i="49"/>
  <c r="B20" i="47"/>
  <c r="F20" i="47"/>
  <c r="G20" i="47" s="1"/>
  <c r="F20" i="48"/>
  <c r="B20" i="48"/>
  <c r="I20" i="41"/>
  <c r="I20" i="40"/>
  <c r="I20" i="42"/>
  <c r="E22" i="44"/>
  <c r="F22" i="44" s="1"/>
  <c r="B22" i="44"/>
  <c r="I21" i="44"/>
  <c r="H21" i="13"/>
  <c r="D22" i="13"/>
  <c r="I25" i="27"/>
  <c r="F26" i="27"/>
  <c r="B26" i="27"/>
  <c r="B31" i="6"/>
  <c r="F31" i="6"/>
  <c r="B25" i="31"/>
  <c r="F25" i="31"/>
  <c r="F25" i="28"/>
  <c r="B25" i="28"/>
  <c r="I21" i="45"/>
  <c r="I30" i="6"/>
  <c r="I28" i="22"/>
  <c r="I24" i="31"/>
  <c r="I29" i="4"/>
  <c r="B30" i="3"/>
  <c r="F30" i="3"/>
  <c r="I30" i="8"/>
  <c r="F22" i="39"/>
  <c r="H22" i="39" s="1"/>
  <c r="N6" i="39" s="1"/>
  <c r="B22" i="39"/>
  <c r="F23" i="37"/>
  <c r="H23" i="37" s="1"/>
  <c r="B23" i="37"/>
  <c r="H32" i="9"/>
  <c r="N6" i="9" s="1"/>
  <c r="D33" i="9"/>
  <c r="G32" i="9"/>
  <c r="N5" i="9" s="1"/>
  <c r="E33" i="9"/>
  <c r="B30" i="4"/>
  <c r="F30" i="4"/>
  <c r="I28" i="25"/>
  <c r="B21" i="40"/>
  <c r="F21" i="40"/>
  <c r="G21" i="40" s="1"/>
  <c r="N5" i="40" s="1"/>
  <c r="B22" i="45"/>
  <c r="F22" i="45"/>
  <c r="H22" i="45" s="1"/>
  <c r="B24" i="30"/>
  <c r="F24" i="30"/>
  <c r="F21" i="41"/>
  <c r="H21" i="41" s="1"/>
  <c r="N6" i="41" s="1"/>
  <c r="B21" i="41"/>
  <c r="F34" i="10"/>
  <c r="B34" i="10"/>
  <c r="F27" i="24"/>
  <c r="B27" i="24"/>
  <c r="I21" i="39"/>
  <c r="B28" i="23"/>
  <c r="F28" i="23"/>
  <c r="B21" i="42"/>
  <c r="F21" i="42"/>
  <c r="H21" i="42" s="1"/>
  <c r="N6" i="42" s="1"/>
  <c r="I24" i="29"/>
  <c r="I31" i="11"/>
  <c r="B22" i="38"/>
  <c r="F22" i="38"/>
  <c r="G22" i="38" s="1"/>
  <c r="N5" i="38" s="1"/>
  <c r="F29" i="22"/>
  <c r="B29" i="22"/>
  <c r="F33" i="7"/>
  <c r="B33" i="7"/>
  <c r="I21" i="38"/>
  <c r="I27" i="23"/>
  <c r="D22" i="46"/>
  <c r="F25" i="29"/>
  <c r="B25" i="29"/>
  <c r="I19" i="43"/>
  <c r="B32" i="11"/>
  <c r="F32" i="11"/>
  <c r="I29" i="5"/>
  <c r="B30" i="5"/>
  <c r="F30" i="5"/>
  <c r="I32" i="7"/>
  <c r="F29" i="25"/>
  <c r="B29" i="25"/>
  <c r="I23" i="30"/>
  <c r="I33" i="10"/>
  <c r="I26" i="24"/>
  <c r="B20" i="43"/>
  <c r="G21" i="46"/>
  <c r="I21" i="46" s="1"/>
  <c r="I24" i="28"/>
  <c r="I29" i="3"/>
  <c r="F31" i="8"/>
  <c r="B31" i="8"/>
  <c r="I103" i="13"/>
  <c r="H103" i="13"/>
  <c r="F104" i="13"/>
  <c r="B104" i="13"/>
  <c r="E39" i="17"/>
  <c r="F25" i="17"/>
  <c r="E36" i="17"/>
  <c r="E24" i="17"/>
  <c r="E37" i="17"/>
  <c r="H105" i="49" l="1"/>
  <c r="J105" i="49" s="1"/>
  <c r="D106" i="49"/>
  <c r="B106" i="49" s="1"/>
  <c r="E106" i="49"/>
  <c r="F106" i="49" s="1"/>
  <c r="G106" i="49" s="1"/>
  <c r="I104" i="49"/>
  <c r="H104" i="49"/>
  <c r="E106" i="48"/>
  <c r="F106" i="48" s="1"/>
  <c r="D107" i="48" s="1"/>
  <c r="G25" i="17"/>
  <c r="N7" i="9"/>
  <c r="N7" i="37"/>
  <c r="G106" i="48"/>
  <c r="D107" i="49"/>
  <c r="I105" i="48"/>
  <c r="H105" i="48"/>
  <c r="H20" i="48"/>
  <c r="D21" i="48"/>
  <c r="E21" i="48"/>
  <c r="H21" i="49"/>
  <c r="D22" i="49"/>
  <c r="E22" i="49"/>
  <c r="G20" i="48"/>
  <c r="H20" i="47"/>
  <c r="I20" i="47" s="1"/>
  <c r="D21" i="47"/>
  <c r="E21" i="47"/>
  <c r="G21" i="49"/>
  <c r="I21" i="13"/>
  <c r="G22" i="44"/>
  <c r="D23" i="44"/>
  <c r="H22" i="44"/>
  <c r="B22" i="13"/>
  <c r="E22" i="13"/>
  <c r="F22" i="13" s="1"/>
  <c r="G22" i="39"/>
  <c r="G21" i="41"/>
  <c r="H22" i="38"/>
  <c r="G21" i="42"/>
  <c r="H21" i="40"/>
  <c r="D27" i="27"/>
  <c r="E27" i="27"/>
  <c r="G26" i="27"/>
  <c r="N5" i="27" s="1"/>
  <c r="H26" i="27"/>
  <c r="N6" i="27" s="1"/>
  <c r="D26" i="29"/>
  <c r="H25" i="29"/>
  <c r="N6" i="29" s="1"/>
  <c r="G25" i="29"/>
  <c r="N5" i="29" s="1"/>
  <c r="E26" i="29"/>
  <c r="D30" i="22"/>
  <c r="G29" i="22"/>
  <c r="N5" i="22" s="1"/>
  <c r="H29" i="22"/>
  <c r="N6" i="22" s="1"/>
  <c r="E30" i="22"/>
  <c r="F33" i="9"/>
  <c r="B33" i="9"/>
  <c r="G25" i="28"/>
  <c r="N5" i="28" s="1"/>
  <c r="D26" i="28"/>
  <c r="H25" i="28"/>
  <c r="N6" i="28" s="1"/>
  <c r="E26" i="28"/>
  <c r="G22" i="45"/>
  <c r="I22" i="45" s="1"/>
  <c r="I32" i="9"/>
  <c r="D24" i="37"/>
  <c r="E24" i="37"/>
  <c r="D23" i="39"/>
  <c r="E23" i="39"/>
  <c r="D26" i="31"/>
  <c r="G25" i="31"/>
  <c r="N5" i="31" s="1"/>
  <c r="H25" i="31"/>
  <c r="N6" i="31" s="1"/>
  <c r="E26" i="31"/>
  <c r="H31" i="6"/>
  <c r="N6" i="6" s="1"/>
  <c r="D32" i="6"/>
  <c r="G31" i="6"/>
  <c r="N5" i="6" s="1"/>
  <c r="E32" i="6"/>
  <c r="D33" i="11"/>
  <c r="G32" i="11"/>
  <c r="N5" i="11" s="1"/>
  <c r="H32" i="11"/>
  <c r="N6" i="11" s="1"/>
  <c r="E33" i="11"/>
  <c r="B22" i="46"/>
  <c r="G30" i="4"/>
  <c r="N5" i="4" s="1"/>
  <c r="D31" i="4"/>
  <c r="H30" i="4"/>
  <c r="N6" i="4" s="1"/>
  <c r="E31" i="4"/>
  <c r="D31" i="3"/>
  <c r="H30" i="3"/>
  <c r="N6" i="3" s="1"/>
  <c r="G30" i="3"/>
  <c r="N5" i="3" s="1"/>
  <c r="E31" i="3"/>
  <c r="D21" i="43"/>
  <c r="E21" i="43"/>
  <c r="H33" i="7"/>
  <c r="N6" i="7" s="1"/>
  <c r="D34" i="7"/>
  <c r="G33" i="7"/>
  <c r="N5" i="7" s="1"/>
  <c r="E34" i="7"/>
  <c r="E35" i="10"/>
  <c r="H34" i="10"/>
  <c r="D35" i="10"/>
  <c r="G34" i="10"/>
  <c r="D22" i="41"/>
  <c r="E22" i="41"/>
  <c r="D22" i="40"/>
  <c r="E22" i="40"/>
  <c r="G23" i="37"/>
  <c r="I23" i="37" s="1"/>
  <c r="H30" i="5"/>
  <c r="N6" i="5" s="1"/>
  <c r="D31" i="5"/>
  <c r="G30" i="5"/>
  <c r="N5" i="5" s="1"/>
  <c r="E31" i="5"/>
  <c r="G27" i="24"/>
  <c r="N5" i="24" s="1"/>
  <c r="D28" i="24"/>
  <c r="H27" i="24"/>
  <c r="N6" i="24" s="1"/>
  <c r="E28" i="24"/>
  <c r="D32" i="8"/>
  <c r="H31" i="8"/>
  <c r="N6" i="8" s="1"/>
  <c r="G31" i="8"/>
  <c r="N5" i="8" s="1"/>
  <c r="E32" i="8"/>
  <c r="D30" i="25"/>
  <c r="G29" i="25"/>
  <c r="N5" i="25" s="1"/>
  <c r="H29" i="25"/>
  <c r="N6" i="25" s="1"/>
  <c r="E30" i="25"/>
  <c r="E22" i="46"/>
  <c r="F22" i="46" s="1"/>
  <c r="D23" i="38"/>
  <c r="E23" i="38"/>
  <c r="D22" i="42"/>
  <c r="E22" i="42"/>
  <c r="D29" i="23"/>
  <c r="H28" i="23"/>
  <c r="N6" i="23" s="1"/>
  <c r="G28" i="23"/>
  <c r="N5" i="23" s="1"/>
  <c r="E29" i="23"/>
  <c r="H24" i="30"/>
  <c r="N6" i="30" s="1"/>
  <c r="D25" i="30"/>
  <c r="G24" i="30"/>
  <c r="N5" i="30" s="1"/>
  <c r="E25" i="30"/>
  <c r="D23" i="45"/>
  <c r="E23" i="45" s="1"/>
  <c r="J103" i="13"/>
  <c r="G104" i="13"/>
  <c r="D105" i="13"/>
  <c r="E105" i="13" s="1"/>
  <c r="E26" i="17"/>
  <c r="E19" i="17"/>
  <c r="E20" i="17"/>
  <c r="E21" i="17"/>
  <c r="E30" i="17"/>
  <c r="E27" i="17"/>
  <c r="E23" i="17"/>
  <c r="F36" i="17"/>
  <c r="E34" i="17"/>
  <c r="E29" i="17"/>
  <c r="F24" i="17"/>
  <c r="E18" i="17"/>
  <c r="E32" i="17"/>
  <c r="E35" i="17"/>
  <c r="E31" i="17"/>
  <c r="E33" i="17"/>
  <c r="E22" i="17"/>
  <c r="E28" i="17"/>
  <c r="J104" i="49" l="1"/>
  <c r="J105" i="48"/>
  <c r="N7" i="27"/>
  <c r="G24" i="17"/>
  <c r="N7" i="30"/>
  <c r="N7" i="8"/>
  <c r="N7" i="29"/>
  <c r="N7" i="5"/>
  <c r="N7" i="6"/>
  <c r="N7" i="28"/>
  <c r="G36" i="17"/>
  <c r="I20" i="48"/>
  <c r="I21" i="40"/>
  <c r="N6" i="40"/>
  <c r="N7" i="40" s="1"/>
  <c r="I22" i="38"/>
  <c r="N6" i="38"/>
  <c r="N7" i="38" s="1"/>
  <c r="N7" i="7"/>
  <c r="N7" i="4"/>
  <c r="I21" i="41"/>
  <c r="N5" i="41"/>
  <c r="N7" i="23"/>
  <c r="N7" i="25"/>
  <c r="N7" i="24"/>
  <c r="N7" i="3"/>
  <c r="N7" i="11"/>
  <c r="N7" i="31"/>
  <c r="N7" i="22"/>
  <c r="I21" i="42"/>
  <c r="N5" i="42"/>
  <c r="I22" i="39"/>
  <c r="N5" i="39"/>
  <c r="I106" i="49"/>
  <c r="H106" i="49"/>
  <c r="B107" i="49"/>
  <c r="E107" i="48"/>
  <c r="F107" i="48" s="1"/>
  <c r="B107" i="48"/>
  <c r="E107" i="49"/>
  <c r="F107" i="49" s="1"/>
  <c r="H106" i="48"/>
  <c r="I106" i="48"/>
  <c r="F21" i="47"/>
  <c r="G21" i="47" s="1"/>
  <c r="B21" i="47"/>
  <c r="F21" i="48"/>
  <c r="H21" i="48" s="1"/>
  <c r="B21" i="48"/>
  <c r="I21" i="49"/>
  <c r="F22" i="49"/>
  <c r="G22" i="49" s="1"/>
  <c r="B22" i="49"/>
  <c r="I20" i="43"/>
  <c r="I22" i="44"/>
  <c r="E23" i="44"/>
  <c r="F23" i="44" s="1"/>
  <c r="B23" i="44"/>
  <c r="G22" i="13"/>
  <c r="N5" i="13" s="1"/>
  <c r="H22" i="13"/>
  <c r="N6" i="13" s="1"/>
  <c r="D23" i="13"/>
  <c r="B23" i="13" s="1"/>
  <c r="I26" i="27"/>
  <c r="B27" i="27"/>
  <c r="F27" i="27"/>
  <c r="D23" i="46"/>
  <c r="E23" i="46" s="1"/>
  <c r="G22" i="46"/>
  <c r="H22" i="46"/>
  <c r="B28" i="24"/>
  <c r="F28" i="24"/>
  <c r="I32" i="11"/>
  <c r="B26" i="29"/>
  <c r="F26" i="29"/>
  <c r="B22" i="42"/>
  <c r="F22" i="42"/>
  <c r="H22" i="42" s="1"/>
  <c r="B30" i="25"/>
  <c r="F30" i="25"/>
  <c r="B32" i="8"/>
  <c r="F32" i="8"/>
  <c r="B22" i="40"/>
  <c r="F22" i="40"/>
  <c r="H22" i="40" s="1"/>
  <c r="B35" i="10"/>
  <c r="F35" i="10"/>
  <c r="F21" i="43"/>
  <c r="H21" i="43" s="1"/>
  <c r="N6" i="43" s="1"/>
  <c r="B21" i="43"/>
  <c r="B32" i="6"/>
  <c r="F32" i="6"/>
  <c r="B24" i="37"/>
  <c r="F24" i="37"/>
  <c r="G24" i="37" s="1"/>
  <c r="F26" i="28"/>
  <c r="B26" i="28"/>
  <c r="D34" i="9"/>
  <c r="H33" i="9"/>
  <c r="G33" i="9"/>
  <c r="E34" i="9"/>
  <c r="F25" i="30"/>
  <c r="B25" i="30"/>
  <c r="I28" i="23"/>
  <c r="B23" i="38"/>
  <c r="F23" i="38"/>
  <c r="G23" i="38" s="1"/>
  <c r="F31" i="5"/>
  <c r="B31" i="5"/>
  <c r="I34" i="10"/>
  <c r="I30" i="4"/>
  <c r="F33" i="11"/>
  <c r="B33" i="11"/>
  <c r="I31" i="6"/>
  <c r="B26" i="31"/>
  <c r="F26" i="31"/>
  <c r="F23" i="39"/>
  <c r="B23" i="39"/>
  <c r="I29" i="22"/>
  <c r="I31" i="8"/>
  <c r="I33" i="7"/>
  <c r="B31" i="3"/>
  <c r="F31" i="3"/>
  <c r="I25" i="31"/>
  <c r="F30" i="22"/>
  <c r="B30" i="22"/>
  <c r="F23" i="45"/>
  <c r="H23" i="45" s="1"/>
  <c r="B23" i="45"/>
  <c r="I24" i="30"/>
  <c r="B29" i="23"/>
  <c r="F29" i="23"/>
  <c r="I29" i="25"/>
  <c r="I27" i="24"/>
  <c r="I30" i="5"/>
  <c r="B22" i="41"/>
  <c r="F22" i="41"/>
  <c r="B34" i="7"/>
  <c r="F34" i="7"/>
  <c r="I30" i="3"/>
  <c r="F31" i="4"/>
  <c r="B31" i="4"/>
  <c r="I25" i="28"/>
  <c r="I25" i="29"/>
  <c r="H104" i="13"/>
  <c r="M88" i="13" s="1"/>
  <c r="M89" i="13" s="1"/>
  <c r="I104" i="13"/>
  <c r="N88" i="13" s="1"/>
  <c r="B105" i="13"/>
  <c r="F105" i="13"/>
  <c r="E38" i="17"/>
  <c r="F27" i="17"/>
  <c r="F21" i="17"/>
  <c r="F22" i="17"/>
  <c r="F31" i="17"/>
  <c r="F39" i="17"/>
  <c r="E40" i="17"/>
  <c r="F30" i="17"/>
  <c r="F34" i="17"/>
  <c r="F29" i="17"/>
  <c r="F33" i="17"/>
  <c r="F37" i="17"/>
  <c r="F23" i="17"/>
  <c r="F32" i="17"/>
  <c r="F19" i="17"/>
  <c r="F18" i="17"/>
  <c r="F26" i="17"/>
  <c r="F20" i="17"/>
  <c r="F35" i="17"/>
  <c r="F28" i="17"/>
  <c r="E41" i="17"/>
  <c r="G31" i="17" l="1"/>
  <c r="N7" i="13"/>
  <c r="G32" i="17"/>
  <c r="G21" i="17"/>
  <c r="G34" i="17"/>
  <c r="G33" i="17"/>
  <c r="G23" i="17"/>
  <c r="G20" i="17"/>
  <c r="J106" i="48"/>
  <c r="G39" i="17"/>
  <c r="G26" i="17"/>
  <c r="G28" i="17"/>
  <c r="G22" i="17"/>
  <c r="G18" i="17"/>
  <c r="G37" i="17"/>
  <c r="G35" i="17"/>
  <c r="G30" i="17"/>
  <c r="G19" i="17"/>
  <c r="G27" i="17"/>
  <c r="G29" i="17"/>
  <c r="N7" i="42"/>
  <c r="G21" i="48"/>
  <c r="H21" i="47"/>
  <c r="I21" i="47" s="1"/>
  <c r="N7" i="41"/>
  <c r="N19" i="1"/>
  <c r="R133" i="1" s="1"/>
  <c r="N7" i="39"/>
  <c r="G107" i="49"/>
  <c r="D108" i="49"/>
  <c r="G107" i="48"/>
  <c r="D108" i="48"/>
  <c r="B108" i="48" s="1"/>
  <c r="J106" i="49"/>
  <c r="D23" i="49"/>
  <c r="E23" i="49"/>
  <c r="I21" i="48"/>
  <c r="H22" i="49"/>
  <c r="I22" i="49" s="1"/>
  <c r="D22" i="48"/>
  <c r="E22" i="48"/>
  <c r="D22" i="47"/>
  <c r="E22" i="47"/>
  <c r="O88" i="13"/>
  <c r="O89" i="13" s="1"/>
  <c r="N89" i="13"/>
  <c r="E23" i="13"/>
  <c r="F23" i="13" s="1"/>
  <c r="H23" i="13" s="1"/>
  <c r="I22" i="46"/>
  <c r="G21" i="43"/>
  <c r="N5" i="43" s="1"/>
  <c r="N7" i="43" s="1"/>
  <c r="H23" i="44"/>
  <c r="D24" i="44"/>
  <c r="G23" i="44"/>
  <c r="H23" i="38"/>
  <c r="I23" i="38" s="1"/>
  <c r="I22" i="13"/>
  <c r="G22" i="42"/>
  <c r="I22" i="42" s="1"/>
  <c r="H24" i="37"/>
  <c r="I24" i="37" s="1"/>
  <c r="D28" i="27"/>
  <c r="G27" i="27"/>
  <c r="E28" i="27"/>
  <c r="H27" i="27"/>
  <c r="D24" i="39"/>
  <c r="E24" i="39"/>
  <c r="D35" i="7"/>
  <c r="G34" i="7"/>
  <c r="H34" i="7"/>
  <c r="E35" i="7"/>
  <c r="G29" i="23"/>
  <c r="H29" i="23"/>
  <c r="D30" i="23"/>
  <c r="E30" i="23"/>
  <c r="G31" i="3"/>
  <c r="H31" i="3"/>
  <c r="D32" i="3"/>
  <c r="E32" i="3"/>
  <c r="G23" i="39"/>
  <c r="D27" i="31"/>
  <c r="G26" i="31"/>
  <c r="H26" i="31"/>
  <c r="E27" i="31"/>
  <c r="D24" i="38"/>
  <c r="E24" i="38"/>
  <c r="G32" i="6"/>
  <c r="H32" i="6"/>
  <c r="D33" i="6"/>
  <c r="E33" i="6"/>
  <c r="D22" i="43"/>
  <c r="E22" i="43"/>
  <c r="G22" i="40"/>
  <c r="I22" i="40" s="1"/>
  <c r="H32" i="8"/>
  <c r="D33" i="8"/>
  <c r="G32" i="8"/>
  <c r="E33" i="8"/>
  <c r="D23" i="42"/>
  <c r="E23" i="42"/>
  <c r="G26" i="29"/>
  <c r="H26" i="29"/>
  <c r="D27" i="29"/>
  <c r="E27" i="29"/>
  <c r="D29" i="24"/>
  <c r="G28" i="24"/>
  <c r="H28" i="24"/>
  <c r="E29" i="24"/>
  <c r="D23" i="41"/>
  <c r="E23" i="41"/>
  <c r="D24" i="45"/>
  <c r="F34" i="9"/>
  <c r="B34" i="9"/>
  <c r="H31" i="4"/>
  <c r="D32" i="4"/>
  <c r="G31" i="4"/>
  <c r="E32" i="4"/>
  <c r="H22" i="41"/>
  <c r="G23" i="45"/>
  <c r="I23" i="45" s="1"/>
  <c r="D31" i="22"/>
  <c r="G30" i="22"/>
  <c r="H30" i="22"/>
  <c r="E31" i="22"/>
  <c r="D34" i="11"/>
  <c r="G33" i="11"/>
  <c r="H33" i="11"/>
  <c r="E34" i="11"/>
  <c r="G31" i="5"/>
  <c r="D32" i="5"/>
  <c r="H31" i="5"/>
  <c r="E32" i="5"/>
  <c r="G25" i="30"/>
  <c r="D26" i="30"/>
  <c r="H25" i="30"/>
  <c r="E26" i="30"/>
  <c r="G26" i="28"/>
  <c r="D27" i="28"/>
  <c r="H26" i="28"/>
  <c r="E27" i="28"/>
  <c r="D25" i="37"/>
  <c r="E25" i="37"/>
  <c r="F23" i="46"/>
  <c r="G23" i="46" s="1"/>
  <c r="B23" i="46"/>
  <c r="G22" i="41"/>
  <c r="H23" i="39"/>
  <c r="I33" i="9"/>
  <c r="H35" i="10"/>
  <c r="G35" i="10"/>
  <c r="D36" i="10"/>
  <c r="E36" i="10"/>
  <c r="D23" i="40"/>
  <c r="E23" i="40"/>
  <c r="H30" i="25"/>
  <c r="D31" i="25"/>
  <c r="G30" i="25"/>
  <c r="E31" i="25"/>
  <c r="J104" i="13"/>
  <c r="G105" i="13"/>
  <c r="D106" i="13"/>
  <c r="E106" i="13" s="1"/>
  <c r="F41" i="17"/>
  <c r="F38" i="17"/>
  <c r="F42" i="17"/>
  <c r="F40" i="17"/>
  <c r="E42" i="17"/>
  <c r="I21" i="43" l="1"/>
  <c r="N20" i="1"/>
  <c r="G40" i="17"/>
  <c r="E51" i="17"/>
  <c r="G42" i="17"/>
  <c r="F51" i="17"/>
  <c r="G38" i="17"/>
  <c r="G41" i="17"/>
  <c r="M19" i="1"/>
  <c r="H107" i="48"/>
  <c r="I107" i="48"/>
  <c r="E108" i="49"/>
  <c r="F108" i="49" s="1"/>
  <c r="B108" i="49"/>
  <c r="E108" i="48"/>
  <c r="F108" i="48" s="1"/>
  <c r="H107" i="49"/>
  <c r="I107" i="49"/>
  <c r="F22" i="47"/>
  <c r="G22" i="47" s="1"/>
  <c r="B22" i="47"/>
  <c r="B22" i="48"/>
  <c r="F22" i="48"/>
  <c r="G22" i="48" s="1"/>
  <c r="B23" i="49"/>
  <c r="F23" i="49"/>
  <c r="G23" i="49" s="1"/>
  <c r="G23" i="13"/>
  <c r="I23" i="13" s="1"/>
  <c r="D24" i="13"/>
  <c r="I27" i="27"/>
  <c r="E24" i="44"/>
  <c r="F24" i="44" s="1"/>
  <c r="B24" i="44"/>
  <c r="I23" i="44"/>
  <c r="F28" i="27"/>
  <c r="B28" i="27"/>
  <c r="I23" i="39"/>
  <c r="B27" i="28"/>
  <c r="F27" i="28"/>
  <c r="G34" i="9"/>
  <c r="E35" i="9"/>
  <c r="D35" i="9"/>
  <c r="H34" i="9"/>
  <c r="B23" i="41"/>
  <c r="F23" i="41"/>
  <c r="G23" i="41" s="1"/>
  <c r="I32" i="6"/>
  <c r="F35" i="7"/>
  <c r="B35" i="7"/>
  <c r="B36" i="10"/>
  <c r="F36" i="10"/>
  <c r="B25" i="37"/>
  <c r="F25" i="37"/>
  <c r="H25" i="37" s="1"/>
  <c r="B34" i="11"/>
  <c r="F34" i="11"/>
  <c r="F31" i="22"/>
  <c r="B31" i="22"/>
  <c r="B24" i="45"/>
  <c r="F33" i="8"/>
  <c r="B33" i="8"/>
  <c r="B22" i="43"/>
  <c r="F22" i="43"/>
  <c r="H22" i="43" s="1"/>
  <c r="I26" i="31"/>
  <c r="B31" i="25"/>
  <c r="F31" i="25"/>
  <c r="F32" i="5"/>
  <c r="B32" i="5"/>
  <c r="I30" i="25"/>
  <c r="B32" i="4"/>
  <c r="F32" i="4"/>
  <c r="E24" i="45"/>
  <c r="F24" i="45" s="1"/>
  <c r="I28" i="24"/>
  <c r="F27" i="29"/>
  <c r="B27" i="29"/>
  <c r="B23" i="42"/>
  <c r="F23" i="42"/>
  <c r="I32" i="8"/>
  <c r="F32" i="3"/>
  <c r="B32" i="3"/>
  <c r="B30" i="23"/>
  <c r="F30" i="23"/>
  <c r="I34" i="7"/>
  <c r="B24" i="39"/>
  <c r="F24" i="39"/>
  <c r="G24" i="39" s="1"/>
  <c r="D24" i="46"/>
  <c r="E24" i="46" s="1"/>
  <c r="F26" i="30"/>
  <c r="B26" i="30"/>
  <c r="B29" i="24"/>
  <c r="F29" i="24"/>
  <c r="B23" i="40"/>
  <c r="F23" i="40"/>
  <c r="H23" i="40" s="1"/>
  <c r="I35" i="10"/>
  <c r="H23" i="46"/>
  <c r="I23" i="46" s="1"/>
  <c r="I26" i="28"/>
  <c r="I25" i="30"/>
  <c r="I31" i="5"/>
  <c r="I33" i="11"/>
  <c r="I30" i="22"/>
  <c r="I22" i="41"/>
  <c r="I31" i="4"/>
  <c r="I26" i="29"/>
  <c r="B33" i="6"/>
  <c r="F33" i="6"/>
  <c r="B24" i="38"/>
  <c r="F24" i="38"/>
  <c r="H24" i="38" s="1"/>
  <c r="F27" i="31"/>
  <c r="B27" i="31"/>
  <c r="I31" i="3"/>
  <c r="I29" i="23"/>
  <c r="I105" i="13"/>
  <c r="H105" i="13"/>
  <c r="B106" i="13"/>
  <c r="F106" i="13"/>
  <c r="J107" i="49" l="1"/>
  <c r="J107" i="48"/>
  <c r="G51" i="17"/>
  <c r="H23" i="49"/>
  <c r="R132" i="1"/>
  <c r="M20" i="1"/>
  <c r="O19" i="1"/>
  <c r="D109" i="49"/>
  <c r="B109" i="49" s="1"/>
  <c r="G108" i="49"/>
  <c r="D109" i="48"/>
  <c r="G108" i="48"/>
  <c r="I23" i="49"/>
  <c r="D24" i="49"/>
  <c r="E24" i="49"/>
  <c r="H22" i="48"/>
  <c r="I22" i="48" s="1"/>
  <c r="D23" i="48"/>
  <c r="E23" i="48"/>
  <c r="H22" i="47"/>
  <c r="I22" i="47" s="1"/>
  <c r="D23" i="47"/>
  <c r="E23" i="47"/>
  <c r="E24" i="13"/>
  <c r="F24" i="13" s="1"/>
  <c r="B24" i="13"/>
  <c r="H23" i="41"/>
  <c r="I23" i="41" s="1"/>
  <c r="G24" i="44"/>
  <c r="H24" i="44"/>
  <c r="D25" i="44"/>
  <c r="G25" i="37"/>
  <c r="I25" i="37" s="1"/>
  <c r="E29" i="27"/>
  <c r="H28" i="27"/>
  <c r="D29" i="27"/>
  <c r="G28" i="27"/>
  <c r="D25" i="45"/>
  <c r="G24" i="45"/>
  <c r="H24" i="45"/>
  <c r="D33" i="5"/>
  <c r="G32" i="5"/>
  <c r="H32" i="5"/>
  <c r="E33" i="5"/>
  <c r="D32" i="22"/>
  <c r="G31" i="22"/>
  <c r="H31" i="22"/>
  <c r="E32" i="22"/>
  <c r="D24" i="40"/>
  <c r="E24" i="40"/>
  <c r="D25" i="39"/>
  <c r="E25" i="39"/>
  <c r="D24" i="42"/>
  <c r="E24" i="42"/>
  <c r="H31" i="25"/>
  <c r="G31" i="25"/>
  <c r="D32" i="25"/>
  <c r="E32" i="25"/>
  <c r="D35" i="11"/>
  <c r="G34" i="11"/>
  <c r="H34" i="11"/>
  <c r="E35" i="11"/>
  <c r="I34" i="9"/>
  <c r="H27" i="28"/>
  <c r="D28" i="28"/>
  <c r="G27" i="28"/>
  <c r="E28" i="28"/>
  <c r="G27" i="31"/>
  <c r="H27" i="31"/>
  <c r="D28" i="31"/>
  <c r="E28" i="31"/>
  <c r="D25" i="38"/>
  <c r="E25" i="38"/>
  <c r="D34" i="6"/>
  <c r="G33" i="6"/>
  <c r="H33" i="6"/>
  <c r="E34" i="6"/>
  <c r="G26" i="30"/>
  <c r="D27" i="30"/>
  <c r="H26" i="30"/>
  <c r="E27" i="30"/>
  <c r="H24" i="39"/>
  <c r="D33" i="3"/>
  <c r="G32" i="3"/>
  <c r="H32" i="3"/>
  <c r="E33" i="3"/>
  <c r="G23" i="42"/>
  <c r="G27" i="29"/>
  <c r="D28" i="29"/>
  <c r="H27" i="29"/>
  <c r="E28" i="29"/>
  <c r="D23" i="43"/>
  <c r="E23" i="43"/>
  <c r="D34" i="8"/>
  <c r="G33" i="8"/>
  <c r="H33" i="8"/>
  <c r="E34" i="8"/>
  <c r="H35" i="7"/>
  <c r="D36" i="7"/>
  <c r="G35" i="7"/>
  <c r="E36" i="7"/>
  <c r="B35" i="9"/>
  <c r="F35" i="9"/>
  <c r="G24" i="38"/>
  <c r="I24" i="38" s="1"/>
  <c r="G23" i="40"/>
  <c r="I23" i="40" s="1"/>
  <c r="D30" i="24"/>
  <c r="H29" i="24"/>
  <c r="G29" i="24"/>
  <c r="E30" i="24"/>
  <c r="B24" i="46"/>
  <c r="F24" i="46"/>
  <c r="G24" i="46" s="1"/>
  <c r="D31" i="23"/>
  <c r="G30" i="23"/>
  <c r="H30" i="23"/>
  <c r="E31" i="23"/>
  <c r="H23" i="42"/>
  <c r="D33" i="4"/>
  <c r="H32" i="4"/>
  <c r="G32" i="4"/>
  <c r="E33" i="4"/>
  <c r="G22" i="43"/>
  <c r="I22" i="43" s="1"/>
  <c r="D26" i="37"/>
  <c r="E26" i="37"/>
  <c r="E37" i="10"/>
  <c r="H36" i="10"/>
  <c r="D37" i="10"/>
  <c r="G36" i="10"/>
  <c r="D24" i="41"/>
  <c r="E24" i="41"/>
  <c r="D107" i="13"/>
  <c r="E107" i="13" s="1"/>
  <c r="G106" i="13"/>
  <c r="J105" i="13"/>
  <c r="E109" i="49" l="1"/>
  <c r="F109" i="49" s="1"/>
  <c r="O20" i="1"/>
  <c r="R134" i="1"/>
  <c r="F52" i="17"/>
  <c r="E109" i="48"/>
  <c r="F109" i="48" s="1"/>
  <c r="B109" i="48"/>
  <c r="D110" i="49"/>
  <c r="G109" i="49"/>
  <c r="H108" i="49"/>
  <c r="I108" i="49"/>
  <c r="H108" i="48"/>
  <c r="I108" i="48"/>
  <c r="J108" i="48" s="1"/>
  <c r="B24" i="49"/>
  <c r="F24" i="49"/>
  <c r="H24" i="49" s="1"/>
  <c r="F23" i="48"/>
  <c r="H23" i="48" s="1"/>
  <c r="B23" i="48"/>
  <c r="F23" i="47"/>
  <c r="G23" i="47" s="1"/>
  <c r="B23" i="47"/>
  <c r="I24" i="44"/>
  <c r="G24" i="13"/>
  <c r="H24" i="13"/>
  <c r="D25" i="13"/>
  <c r="I31" i="22"/>
  <c r="B25" i="44"/>
  <c r="E25" i="44"/>
  <c r="F25" i="44" s="1"/>
  <c r="I28" i="27"/>
  <c r="I36" i="10"/>
  <c r="I31" i="25"/>
  <c r="I27" i="29"/>
  <c r="I34" i="11"/>
  <c r="I29" i="24"/>
  <c r="I32" i="4"/>
  <c r="I27" i="28"/>
  <c r="I24" i="45"/>
  <c r="I35" i="7"/>
  <c r="I32" i="5"/>
  <c r="F29" i="27"/>
  <c r="B29" i="27"/>
  <c r="B33" i="3"/>
  <c r="F33" i="3"/>
  <c r="F28" i="28"/>
  <c r="B28" i="28"/>
  <c r="B31" i="23"/>
  <c r="F31" i="23"/>
  <c r="B30" i="24"/>
  <c r="F30" i="24"/>
  <c r="F34" i="8"/>
  <c r="B34" i="8"/>
  <c r="I24" i="39"/>
  <c r="B34" i="6"/>
  <c r="F34" i="6"/>
  <c r="B28" i="31"/>
  <c r="F28" i="31"/>
  <c r="B32" i="25"/>
  <c r="F32" i="25"/>
  <c r="F24" i="42"/>
  <c r="G24" i="42" s="1"/>
  <c r="B24" i="42"/>
  <c r="F24" i="40"/>
  <c r="H24" i="40" s="1"/>
  <c r="B24" i="40"/>
  <c r="F27" i="30"/>
  <c r="B27" i="30"/>
  <c r="B24" i="41"/>
  <c r="F24" i="41"/>
  <c r="I23" i="42"/>
  <c r="B28" i="29"/>
  <c r="F28" i="29"/>
  <c r="I32" i="3"/>
  <c r="I27" i="31"/>
  <c r="B35" i="11"/>
  <c r="F35" i="11"/>
  <c r="B25" i="45"/>
  <c r="F33" i="4"/>
  <c r="B33" i="4"/>
  <c r="D25" i="46"/>
  <c r="E25" i="46" s="1"/>
  <c r="F37" i="10"/>
  <c r="B37" i="10"/>
  <c r="F26" i="37"/>
  <c r="B26" i="37"/>
  <c r="I30" i="23"/>
  <c r="H24" i="46"/>
  <c r="I24" i="46" s="1"/>
  <c r="E36" i="9"/>
  <c r="D36" i="9"/>
  <c r="G35" i="9"/>
  <c r="H35" i="9"/>
  <c r="B36" i="7"/>
  <c r="F36" i="7"/>
  <c r="I33" i="8"/>
  <c r="B23" i="43"/>
  <c r="F23" i="43"/>
  <c r="I26" i="30"/>
  <c r="I33" i="6"/>
  <c r="F25" i="38"/>
  <c r="G25" i="38" s="1"/>
  <c r="B25" i="38"/>
  <c r="F25" i="39"/>
  <c r="H25" i="39" s="1"/>
  <c r="B25" i="39"/>
  <c r="F32" i="22"/>
  <c r="B32" i="22"/>
  <c r="B33" i="5"/>
  <c r="F33" i="5"/>
  <c r="E25" i="45"/>
  <c r="F25" i="45" s="1"/>
  <c r="H106" i="13"/>
  <c r="I106" i="13"/>
  <c r="F107" i="13"/>
  <c r="B107" i="13"/>
  <c r="I24" i="13" l="1"/>
  <c r="J108" i="49"/>
  <c r="B110" i="49"/>
  <c r="E110" i="49"/>
  <c r="F110" i="49" s="1"/>
  <c r="G109" i="48"/>
  <c r="D110" i="48"/>
  <c r="B110" i="48" s="1"/>
  <c r="E110" i="48"/>
  <c r="F110" i="48" s="1"/>
  <c r="I109" i="49"/>
  <c r="H109" i="49"/>
  <c r="D25" i="49"/>
  <c r="E25" i="49"/>
  <c r="D24" i="47"/>
  <c r="E24" i="47"/>
  <c r="D24" i="48"/>
  <c r="E24" i="48"/>
  <c r="H23" i="47"/>
  <c r="I23" i="47" s="1"/>
  <c r="G23" i="48"/>
  <c r="I23" i="48" s="1"/>
  <c r="G24" i="49"/>
  <c r="I24" i="49" s="1"/>
  <c r="B25" i="13"/>
  <c r="E25" i="13"/>
  <c r="F25" i="13" s="1"/>
  <c r="D26" i="44"/>
  <c r="H25" i="44"/>
  <c r="G25" i="44"/>
  <c r="G24" i="40"/>
  <c r="I24" i="40" s="1"/>
  <c r="H24" i="42"/>
  <c r="I24" i="42" s="1"/>
  <c r="G29" i="27"/>
  <c r="E30" i="27"/>
  <c r="H29" i="27"/>
  <c r="D30" i="27"/>
  <c r="D26" i="45"/>
  <c r="E26" i="45" s="1"/>
  <c r="H25" i="45"/>
  <c r="G25" i="45"/>
  <c r="D24" i="43"/>
  <c r="E24" i="43"/>
  <c r="D27" i="37"/>
  <c r="E27" i="37"/>
  <c r="D34" i="4"/>
  <c r="G33" i="4"/>
  <c r="H33" i="4"/>
  <c r="E34" i="4"/>
  <c r="G28" i="31"/>
  <c r="H28" i="31"/>
  <c r="D29" i="31"/>
  <c r="E29" i="31"/>
  <c r="D31" i="24"/>
  <c r="G30" i="24"/>
  <c r="H30" i="24"/>
  <c r="E31" i="24"/>
  <c r="D33" i="22"/>
  <c r="G32" i="22"/>
  <c r="H32" i="22"/>
  <c r="E33" i="22"/>
  <c r="D26" i="39"/>
  <c r="E26" i="39"/>
  <c r="D26" i="38"/>
  <c r="E26" i="38"/>
  <c r="H23" i="43"/>
  <c r="D37" i="7"/>
  <c r="G36" i="7"/>
  <c r="H36" i="7"/>
  <c r="E37" i="7"/>
  <c r="B36" i="9"/>
  <c r="F36" i="9"/>
  <c r="H26" i="37"/>
  <c r="D36" i="11"/>
  <c r="G35" i="11"/>
  <c r="H35" i="11"/>
  <c r="E36" i="11"/>
  <c r="D29" i="29"/>
  <c r="G28" i="29"/>
  <c r="H28" i="29"/>
  <c r="E29" i="29"/>
  <c r="G27" i="30"/>
  <c r="D28" i="30"/>
  <c r="H27" i="30"/>
  <c r="E28" i="30"/>
  <c r="D25" i="42"/>
  <c r="E25" i="42"/>
  <c r="H28" i="28"/>
  <c r="G28" i="28"/>
  <c r="D29" i="28"/>
  <c r="E29" i="28"/>
  <c r="D25" i="41"/>
  <c r="E25" i="41"/>
  <c r="G33" i="5"/>
  <c r="H33" i="5"/>
  <c r="D34" i="5"/>
  <c r="E34" i="5"/>
  <c r="G25" i="39"/>
  <c r="I25" i="39" s="1"/>
  <c r="H25" i="38"/>
  <c r="I25" i="38" s="1"/>
  <c r="E38" i="10"/>
  <c r="D38" i="10"/>
  <c r="G37" i="10"/>
  <c r="H37" i="10"/>
  <c r="F25" i="46"/>
  <c r="G25" i="46" s="1"/>
  <c r="B25" i="46"/>
  <c r="H24" i="41"/>
  <c r="D25" i="40"/>
  <c r="E25" i="40"/>
  <c r="D35" i="6"/>
  <c r="G34" i="6"/>
  <c r="H34" i="6"/>
  <c r="E35" i="6"/>
  <c r="H31" i="23"/>
  <c r="D32" i="23"/>
  <c r="G31" i="23"/>
  <c r="E32" i="23"/>
  <c r="D34" i="3"/>
  <c r="G33" i="3"/>
  <c r="H33" i="3"/>
  <c r="E34" i="3"/>
  <c r="G23" i="43"/>
  <c r="I35" i="9"/>
  <c r="G26" i="37"/>
  <c r="G24" i="41"/>
  <c r="G32" i="25"/>
  <c r="D33" i="25"/>
  <c r="H32" i="25"/>
  <c r="E33" i="25"/>
  <c r="D35" i="8"/>
  <c r="G34" i="8"/>
  <c r="H34" i="8"/>
  <c r="E35" i="8"/>
  <c r="J106" i="13"/>
  <c r="G107" i="13"/>
  <c r="D108" i="13"/>
  <c r="E108" i="13" s="1"/>
  <c r="D111" i="49" l="1"/>
  <c r="E111" i="49" s="1"/>
  <c r="G110" i="49"/>
  <c r="H109" i="48"/>
  <c r="I109" i="48"/>
  <c r="J109" i="49"/>
  <c r="D111" i="48"/>
  <c r="B111" i="48" s="1"/>
  <c r="G110" i="48"/>
  <c r="F24" i="48"/>
  <c r="G24" i="48" s="1"/>
  <c r="B24" i="48"/>
  <c r="F25" i="49"/>
  <c r="B25" i="49"/>
  <c r="F24" i="47"/>
  <c r="B24" i="47"/>
  <c r="D26" i="13"/>
  <c r="H25" i="13"/>
  <c r="G25" i="13"/>
  <c r="I36" i="7"/>
  <c r="I25" i="44"/>
  <c r="E26" i="44"/>
  <c r="F26" i="44" s="1"/>
  <c r="B26" i="44"/>
  <c r="I29" i="27"/>
  <c r="I28" i="31"/>
  <c r="I32" i="22"/>
  <c r="I34" i="8"/>
  <c r="B30" i="27"/>
  <c r="F30" i="27"/>
  <c r="I26" i="37"/>
  <c r="I37" i="10"/>
  <c r="I33" i="5"/>
  <c r="I27" i="30"/>
  <c r="I28" i="29"/>
  <c r="I35" i="11"/>
  <c r="I33" i="3"/>
  <c r="I34" i="6"/>
  <c r="I24" i="41"/>
  <c r="B35" i="8"/>
  <c r="F35" i="8"/>
  <c r="F32" i="23"/>
  <c r="B32" i="23"/>
  <c r="F25" i="40"/>
  <c r="H25" i="40" s="1"/>
  <c r="B25" i="40"/>
  <c r="I28" i="28"/>
  <c r="G36" i="9"/>
  <c r="E37" i="9"/>
  <c r="H36" i="9"/>
  <c r="D37" i="9"/>
  <c r="B26" i="38"/>
  <c r="F26" i="38"/>
  <c r="H26" i="38" s="1"/>
  <c r="B31" i="24"/>
  <c r="F31" i="24"/>
  <c r="B34" i="4"/>
  <c r="F34" i="4"/>
  <c r="F24" i="43"/>
  <c r="B24" i="43"/>
  <c r="B26" i="45"/>
  <c r="F26" i="45"/>
  <c r="F34" i="5"/>
  <c r="B34" i="5"/>
  <c r="I32" i="25"/>
  <c r="F34" i="3"/>
  <c r="B34" i="3"/>
  <c r="I31" i="23"/>
  <c r="B35" i="6"/>
  <c r="F35" i="6"/>
  <c r="F28" i="30"/>
  <c r="B28" i="30"/>
  <c r="B37" i="7"/>
  <c r="F37" i="7"/>
  <c r="D26" i="46"/>
  <c r="B25" i="41"/>
  <c r="F25" i="41"/>
  <c r="H25" i="41" s="1"/>
  <c r="B33" i="25"/>
  <c r="F33" i="25"/>
  <c r="H25" i="46"/>
  <c r="I25" i="46" s="1"/>
  <c r="B38" i="10"/>
  <c r="F38" i="10"/>
  <c r="B29" i="28"/>
  <c r="F29" i="28"/>
  <c r="F25" i="42"/>
  <c r="B25" i="42"/>
  <c r="F29" i="29"/>
  <c r="B29" i="29"/>
  <c r="F36" i="11"/>
  <c r="B36" i="11"/>
  <c r="I23" i="43"/>
  <c r="F26" i="39"/>
  <c r="H26" i="39" s="1"/>
  <c r="B26" i="39"/>
  <c r="F33" i="22"/>
  <c r="B33" i="22"/>
  <c r="I30" i="24"/>
  <c r="F29" i="31"/>
  <c r="B29" i="31"/>
  <c r="I33" i="4"/>
  <c r="F27" i="37"/>
  <c r="B27" i="37"/>
  <c r="I25" i="45"/>
  <c r="H107" i="13"/>
  <c r="I107" i="13"/>
  <c r="B108" i="13"/>
  <c r="F108" i="13"/>
  <c r="H110" i="48" l="1"/>
  <c r="I110" i="48"/>
  <c r="H110" i="49"/>
  <c r="I110" i="49"/>
  <c r="J110" i="49" s="1"/>
  <c r="E111" i="48"/>
  <c r="F111" i="48" s="1"/>
  <c r="J109" i="48"/>
  <c r="F111" i="49"/>
  <c r="B111" i="49"/>
  <c r="G25" i="49"/>
  <c r="D26" i="49"/>
  <c r="E26" i="49"/>
  <c r="H24" i="47"/>
  <c r="D25" i="47"/>
  <c r="E25" i="47"/>
  <c r="H25" i="49"/>
  <c r="I25" i="49" s="1"/>
  <c r="G24" i="47"/>
  <c r="H24" i="48"/>
  <c r="I24" i="48" s="1"/>
  <c r="D25" i="48"/>
  <c r="E25" i="48"/>
  <c r="I25" i="13"/>
  <c r="E26" i="13"/>
  <c r="B26" i="13"/>
  <c r="F26" i="13"/>
  <c r="H26" i="44"/>
  <c r="G26" i="44"/>
  <c r="D27" i="44"/>
  <c r="G26" i="38"/>
  <c r="I26" i="38" s="1"/>
  <c r="G26" i="39"/>
  <c r="I26" i="39" s="1"/>
  <c r="H30" i="27"/>
  <c r="E31" i="27"/>
  <c r="D31" i="27"/>
  <c r="G30" i="27"/>
  <c r="E28" i="37"/>
  <c r="D28" i="37"/>
  <c r="H37" i="7"/>
  <c r="D38" i="7"/>
  <c r="G37" i="7"/>
  <c r="E38" i="7"/>
  <c r="H34" i="3"/>
  <c r="G34" i="3"/>
  <c r="D35" i="3"/>
  <c r="E35" i="3"/>
  <c r="D25" i="43"/>
  <c r="E25" i="43"/>
  <c r="G27" i="37"/>
  <c r="D37" i="11"/>
  <c r="G36" i="11"/>
  <c r="H36" i="11"/>
  <c r="E37" i="11"/>
  <c r="D26" i="42"/>
  <c r="E26" i="42"/>
  <c r="G33" i="25"/>
  <c r="H33" i="25"/>
  <c r="D34" i="25"/>
  <c r="E34" i="25"/>
  <c r="D26" i="41"/>
  <c r="E26" i="41"/>
  <c r="D27" i="45"/>
  <c r="G24" i="43"/>
  <c r="G34" i="4"/>
  <c r="D35" i="4"/>
  <c r="H34" i="4"/>
  <c r="E35" i="4"/>
  <c r="B37" i="9"/>
  <c r="F37" i="9"/>
  <c r="D26" i="40"/>
  <c r="E26" i="40"/>
  <c r="G29" i="28"/>
  <c r="H29" i="28"/>
  <c r="D30" i="28"/>
  <c r="E30" i="28"/>
  <c r="B26" i="46"/>
  <c r="G35" i="6"/>
  <c r="D36" i="6"/>
  <c r="H35" i="6"/>
  <c r="E36" i="6"/>
  <c r="G34" i="5"/>
  <c r="D35" i="5"/>
  <c r="H34" i="5"/>
  <c r="E35" i="5"/>
  <c r="H27" i="37"/>
  <c r="G33" i="22"/>
  <c r="D34" i="22"/>
  <c r="H33" i="22"/>
  <c r="E34" i="22"/>
  <c r="D27" i="39"/>
  <c r="E27" i="39"/>
  <c r="G25" i="42"/>
  <c r="E39" i="10"/>
  <c r="G38" i="10"/>
  <c r="H38" i="10"/>
  <c r="D39" i="10"/>
  <c r="H26" i="45"/>
  <c r="D27" i="38"/>
  <c r="E27" i="38"/>
  <c r="I36" i="9"/>
  <c r="G25" i="40"/>
  <c r="I25" i="40" s="1"/>
  <c r="H35" i="8"/>
  <c r="D36" i="8"/>
  <c r="G35" i="8"/>
  <c r="E36" i="8"/>
  <c r="H29" i="31"/>
  <c r="D30" i="31"/>
  <c r="G29" i="31"/>
  <c r="E30" i="31"/>
  <c r="D30" i="29"/>
  <c r="H29" i="29"/>
  <c r="G29" i="29"/>
  <c r="E30" i="29"/>
  <c r="H25" i="42"/>
  <c r="G25" i="41"/>
  <c r="I25" i="41" s="1"/>
  <c r="E26" i="46"/>
  <c r="F26" i="46" s="1"/>
  <c r="D29" i="30"/>
  <c r="H28" i="30"/>
  <c r="G28" i="30"/>
  <c r="E29" i="30"/>
  <c r="G26" i="45"/>
  <c r="H24" i="43"/>
  <c r="G31" i="24"/>
  <c r="D32" i="24"/>
  <c r="H31" i="24"/>
  <c r="E32" i="24"/>
  <c r="D33" i="23"/>
  <c r="G32" i="23"/>
  <c r="H32" i="23"/>
  <c r="E33" i="23"/>
  <c r="J107" i="13"/>
  <c r="G108" i="13"/>
  <c r="D109" i="13"/>
  <c r="E109" i="13" s="1"/>
  <c r="J110" i="48" l="1"/>
  <c r="D112" i="49"/>
  <c r="G111" i="49"/>
  <c r="D112" i="48"/>
  <c r="G111" i="48"/>
  <c r="F25" i="48"/>
  <c r="H25" i="48" s="1"/>
  <c r="B25" i="48"/>
  <c r="B26" i="49"/>
  <c r="F26" i="49"/>
  <c r="I24" i="47"/>
  <c r="F25" i="47"/>
  <c r="G25" i="47" s="1"/>
  <c r="B25" i="47"/>
  <c r="I26" i="44"/>
  <c r="G26" i="13"/>
  <c r="D27" i="13"/>
  <c r="H26" i="13"/>
  <c r="I33" i="22"/>
  <c r="I34" i="4"/>
  <c r="E27" i="44"/>
  <c r="F27" i="44" s="1"/>
  <c r="B27" i="44"/>
  <c r="I25" i="42"/>
  <c r="I27" i="37"/>
  <c r="I34" i="5"/>
  <c r="I37" i="7"/>
  <c r="I29" i="31"/>
  <c r="I35" i="6"/>
  <c r="I30" i="27"/>
  <c r="I29" i="29"/>
  <c r="I36" i="11"/>
  <c r="I26" i="45"/>
  <c r="I38" i="10"/>
  <c r="I29" i="28"/>
  <c r="F31" i="27"/>
  <c r="B31" i="27"/>
  <c r="D27" i="46"/>
  <c r="G26" i="46"/>
  <c r="H26" i="46"/>
  <c r="B32" i="24"/>
  <c r="F32" i="24"/>
  <c r="F30" i="29"/>
  <c r="B30" i="29"/>
  <c r="F39" i="10"/>
  <c r="B39" i="10"/>
  <c r="F30" i="28"/>
  <c r="B30" i="28"/>
  <c r="B26" i="40"/>
  <c r="F26" i="40"/>
  <c r="H26" i="40" s="1"/>
  <c r="B27" i="45"/>
  <c r="B25" i="43"/>
  <c r="F25" i="43"/>
  <c r="I34" i="3"/>
  <c r="I24" i="43"/>
  <c r="I28" i="30"/>
  <c r="B36" i="8"/>
  <c r="F36" i="8"/>
  <c r="B34" i="22"/>
  <c r="F34" i="22"/>
  <c r="F35" i="5"/>
  <c r="B35" i="5"/>
  <c r="F36" i="6"/>
  <c r="B36" i="6"/>
  <c r="G37" i="9"/>
  <c r="E38" i="9"/>
  <c r="H37" i="9"/>
  <c r="D38" i="9"/>
  <c r="B35" i="4"/>
  <c r="F35" i="4"/>
  <c r="E27" i="45"/>
  <c r="F27" i="45" s="1"/>
  <c r="F34" i="25"/>
  <c r="B34" i="25"/>
  <c r="B26" i="42"/>
  <c r="F26" i="42"/>
  <c r="H26" i="42" s="1"/>
  <c r="F37" i="11"/>
  <c r="B37" i="11"/>
  <c r="F30" i="31"/>
  <c r="B30" i="31"/>
  <c r="B26" i="41"/>
  <c r="F26" i="41"/>
  <c r="H26" i="41" s="1"/>
  <c r="B38" i="7"/>
  <c r="F38" i="7"/>
  <c r="B33" i="23"/>
  <c r="F33" i="23"/>
  <c r="I32" i="23"/>
  <c r="I31" i="24"/>
  <c r="F29" i="30"/>
  <c r="B29" i="30"/>
  <c r="I35" i="8"/>
  <c r="B27" i="38"/>
  <c r="F27" i="38"/>
  <c r="G27" i="38" s="1"/>
  <c r="B27" i="39"/>
  <c r="F27" i="39"/>
  <c r="H27" i="39" s="1"/>
  <c r="I33" i="25"/>
  <c r="F35" i="3"/>
  <c r="B35" i="3"/>
  <c r="B28" i="37"/>
  <c r="F28" i="37"/>
  <c r="I108" i="13"/>
  <c r="H108" i="13"/>
  <c r="F109" i="13"/>
  <c r="B109" i="13"/>
  <c r="H25" i="47" l="1"/>
  <c r="I25" i="47" s="1"/>
  <c r="H111" i="48"/>
  <c r="I111" i="48"/>
  <c r="J111" i="48" s="1"/>
  <c r="E112" i="48"/>
  <c r="F112" i="48" s="1"/>
  <c r="B112" i="48"/>
  <c r="H111" i="49"/>
  <c r="I111" i="49"/>
  <c r="J111" i="49" s="1"/>
  <c r="E112" i="49"/>
  <c r="F112" i="49" s="1"/>
  <c r="B112" i="49"/>
  <c r="H26" i="49"/>
  <c r="D27" i="49"/>
  <c r="E27" i="49"/>
  <c r="G26" i="49"/>
  <c r="D26" i="48"/>
  <c r="E26" i="48"/>
  <c r="I26" i="13"/>
  <c r="D26" i="47"/>
  <c r="E26" i="47"/>
  <c r="G25" i="48"/>
  <c r="I25" i="48" s="1"/>
  <c r="E27" i="13"/>
  <c r="F27" i="13" s="1"/>
  <c r="B27" i="13"/>
  <c r="G26" i="42"/>
  <c r="I26" i="42" s="1"/>
  <c r="H27" i="44"/>
  <c r="D28" i="44"/>
  <c r="G27" i="44"/>
  <c r="I26" i="46"/>
  <c r="D32" i="27"/>
  <c r="E32" i="27"/>
  <c r="H31" i="27"/>
  <c r="G31" i="27"/>
  <c r="D28" i="45"/>
  <c r="E28" i="45" s="1"/>
  <c r="H27" i="45"/>
  <c r="G27" i="45"/>
  <c r="D38" i="11"/>
  <c r="G37" i="11"/>
  <c r="H37" i="11"/>
  <c r="E38" i="11"/>
  <c r="D26" i="43"/>
  <c r="E26" i="43"/>
  <c r="D28" i="39"/>
  <c r="E28" i="39"/>
  <c r="D28" i="38"/>
  <c r="E28" i="38"/>
  <c r="G35" i="5"/>
  <c r="D36" i="5"/>
  <c r="H35" i="5"/>
  <c r="E36" i="5"/>
  <c r="G25" i="43"/>
  <c r="G26" i="40"/>
  <c r="I26" i="40" s="1"/>
  <c r="G30" i="28"/>
  <c r="D31" i="28"/>
  <c r="H30" i="28"/>
  <c r="E31" i="28"/>
  <c r="G30" i="29"/>
  <c r="D31" i="29"/>
  <c r="H30" i="29"/>
  <c r="E31" i="29"/>
  <c r="G35" i="4"/>
  <c r="H35" i="4"/>
  <c r="D36" i="4"/>
  <c r="E36" i="4"/>
  <c r="D37" i="8"/>
  <c r="H36" i="8"/>
  <c r="G36" i="8"/>
  <c r="E37" i="8"/>
  <c r="D29" i="37"/>
  <c r="E29" i="37"/>
  <c r="G28" i="37"/>
  <c r="H35" i="3"/>
  <c r="D36" i="3"/>
  <c r="G35" i="3"/>
  <c r="E36" i="3"/>
  <c r="H27" i="38"/>
  <c r="I27" i="38" s="1"/>
  <c r="H33" i="23"/>
  <c r="G33" i="23"/>
  <c r="D34" i="23"/>
  <c r="E34" i="23"/>
  <c r="D27" i="41"/>
  <c r="E27" i="41"/>
  <c r="G34" i="25"/>
  <c r="D35" i="25"/>
  <c r="H34" i="25"/>
  <c r="E35" i="25"/>
  <c r="B38" i="9"/>
  <c r="F38" i="9"/>
  <c r="G34" i="22"/>
  <c r="D35" i="22"/>
  <c r="H34" i="22"/>
  <c r="E35" i="22"/>
  <c r="H32" i="24"/>
  <c r="D33" i="24"/>
  <c r="G32" i="24"/>
  <c r="E33" i="24"/>
  <c r="B27" i="46"/>
  <c r="D39" i="7"/>
  <c r="G38" i="7"/>
  <c r="H38" i="7"/>
  <c r="E39" i="7"/>
  <c r="D27" i="40"/>
  <c r="E27" i="40"/>
  <c r="H28" i="37"/>
  <c r="G27" i="39"/>
  <c r="I27" i="39" s="1"/>
  <c r="D30" i="30"/>
  <c r="G29" i="30"/>
  <c r="H29" i="30"/>
  <c r="E30" i="30"/>
  <c r="G26" i="41"/>
  <c r="I26" i="41" s="1"/>
  <c r="H30" i="31"/>
  <c r="D31" i="31"/>
  <c r="G30" i="31"/>
  <c r="E31" i="31"/>
  <c r="D27" i="42"/>
  <c r="E27" i="42"/>
  <c r="I37" i="9"/>
  <c r="H36" i="6"/>
  <c r="G36" i="6"/>
  <c r="D37" i="6"/>
  <c r="E37" i="6"/>
  <c r="H25" i="43"/>
  <c r="D40" i="10"/>
  <c r="H39" i="10"/>
  <c r="G39" i="10"/>
  <c r="E40" i="10"/>
  <c r="E27" i="46"/>
  <c r="F27" i="46" s="1"/>
  <c r="G109" i="13"/>
  <c r="D110" i="13"/>
  <c r="E110" i="13" s="1"/>
  <c r="J108" i="13"/>
  <c r="G112" i="49" l="1"/>
  <c r="D113" i="49"/>
  <c r="G112" i="48"/>
  <c r="D113" i="48"/>
  <c r="B113" i="48" s="1"/>
  <c r="F27" i="49"/>
  <c r="G27" i="49" s="1"/>
  <c r="B27" i="49"/>
  <c r="F26" i="47"/>
  <c r="G26" i="47" s="1"/>
  <c r="B26" i="47"/>
  <c r="F26" i="48"/>
  <c r="B26" i="48"/>
  <c r="I26" i="49"/>
  <c r="I25" i="43"/>
  <c r="G27" i="13"/>
  <c r="H27" i="13"/>
  <c r="D28" i="13"/>
  <c r="I27" i="44"/>
  <c r="E28" i="44"/>
  <c r="F28" i="44" s="1"/>
  <c r="G28" i="44" s="1"/>
  <c r="B28" i="44"/>
  <c r="I39" i="10"/>
  <c r="I30" i="31"/>
  <c r="I34" i="22"/>
  <c r="I35" i="4"/>
  <c r="I28" i="37"/>
  <c r="I32" i="24"/>
  <c r="I37" i="11"/>
  <c r="F32" i="27"/>
  <c r="B32" i="27"/>
  <c r="I33" i="23"/>
  <c r="I30" i="29"/>
  <c r="I30" i="28"/>
  <c r="I35" i="3"/>
  <c r="I31" i="27"/>
  <c r="D28" i="46"/>
  <c r="E28" i="46" s="1"/>
  <c r="H27" i="46"/>
  <c r="G27" i="46"/>
  <c r="B40" i="10"/>
  <c r="F40" i="10"/>
  <c r="F27" i="42"/>
  <c r="H27" i="42" s="1"/>
  <c r="B27" i="42"/>
  <c r="B28" i="39"/>
  <c r="F28" i="39"/>
  <c r="B30" i="30"/>
  <c r="F30" i="30"/>
  <c r="F35" i="22"/>
  <c r="B35" i="22"/>
  <c r="B34" i="23"/>
  <c r="F34" i="23"/>
  <c r="B36" i="4"/>
  <c r="F36" i="4"/>
  <c r="I27" i="45"/>
  <c r="B27" i="40"/>
  <c r="F27" i="40"/>
  <c r="G27" i="40" s="1"/>
  <c r="B36" i="5"/>
  <c r="F36" i="5"/>
  <c r="I36" i="6"/>
  <c r="I38" i="7"/>
  <c r="I34" i="25"/>
  <c r="I36" i="8"/>
  <c r="F31" i="29"/>
  <c r="B31" i="29"/>
  <c r="B31" i="28"/>
  <c r="F31" i="28"/>
  <c r="F28" i="38"/>
  <c r="G28" i="38" s="1"/>
  <c r="B28" i="38"/>
  <c r="F26" i="43"/>
  <c r="H26" i="43" s="1"/>
  <c r="B26" i="43"/>
  <c r="F38" i="11"/>
  <c r="B38" i="11"/>
  <c r="B39" i="7"/>
  <c r="F39" i="7"/>
  <c r="B37" i="6"/>
  <c r="F37" i="6"/>
  <c r="F31" i="31"/>
  <c r="B31" i="31"/>
  <c r="I29" i="30"/>
  <c r="F33" i="24"/>
  <c r="B33" i="24"/>
  <c r="D39" i="9"/>
  <c r="E39" i="9"/>
  <c r="G38" i="9"/>
  <c r="H38" i="9"/>
  <c r="F35" i="25"/>
  <c r="B35" i="25"/>
  <c r="F27" i="41"/>
  <c r="G27" i="41" s="1"/>
  <c r="B27" i="41"/>
  <c r="B36" i="3"/>
  <c r="F36" i="3"/>
  <c r="B29" i="37"/>
  <c r="F29" i="37"/>
  <c r="H29" i="37" s="1"/>
  <c r="F37" i="8"/>
  <c r="B37" i="8"/>
  <c r="I35" i="5"/>
  <c r="B28" i="45"/>
  <c r="F28" i="45"/>
  <c r="H28" i="45" s="1"/>
  <c r="F110" i="13"/>
  <c r="B110" i="13"/>
  <c r="H109" i="13"/>
  <c r="I109" i="13"/>
  <c r="H27" i="49" l="1"/>
  <c r="I27" i="49" s="1"/>
  <c r="H112" i="48"/>
  <c r="I112" i="48"/>
  <c r="J112" i="48" s="1"/>
  <c r="E113" i="49"/>
  <c r="F113" i="49" s="1"/>
  <c r="B113" i="49"/>
  <c r="E113" i="48"/>
  <c r="F113" i="48" s="1"/>
  <c r="H112" i="49"/>
  <c r="I112" i="49"/>
  <c r="D27" i="48"/>
  <c r="E27" i="48"/>
  <c r="G26" i="48"/>
  <c r="I26" i="47"/>
  <c r="H26" i="48"/>
  <c r="H26" i="47"/>
  <c r="D27" i="47"/>
  <c r="E27" i="47"/>
  <c r="D28" i="49"/>
  <c r="E28" i="49"/>
  <c r="I27" i="13"/>
  <c r="E28" i="13"/>
  <c r="F28" i="13" s="1"/>
  <c r="B28" i="13"/>
  <c r="H28" i="44"/>
  <c r="I28" i="44" s="1"/>
  <c r="D29" i="44"/>
  <c r="I38" i="9"/>
  <c r="H28" i="38"/>
  <c r="I28" i="38" s="1"/>
  <c r="G29" i="37"/>
  <c r="H27" i="41"/>
  <c r="I27" i="41" s="1"/>
  <c r="H27" i="40"/>
  <c r="I27" i="40" s="1"/>
  <c r="D33" i="27"/>
  <c r="E33" i="27"/>
  <c r="G32" i="27"/>
  <c r="H32" i="27"/>
  <c r="H36" i="3"/>
  <c r="G36" i="3"/>
  <c r="D37" i="3"/>
  <c r="E37" i="3"/>
  <c r="G36" i="5"/>
  <c r="H36" i="5"/>
  <c r="D37" i="5"/>
  <c r="E37" i="5"/>
  <c r="H35" i="22"/>
  <c r="G35" i="22"/>
  <c r="D36" i="22"/>
  <c r="E36" i="22"/>
  <c r="D29" i="45"/>
  <c r="E29" i="45" s="1"/>
  <c r="I29" i="37"/>
  <c r="G33" i="24"/>
  <c r="D34" i="24"/>
  <c r="H33" i="24"/>
  <c r="E34" i="24"/>
  <c r="D32" i="31"/>
  <c r="G31" i="31"/>
  <c r="H31" i="31"/>
  <c r="E32" i="31"/>
  <c r="G38" i="11"/>
  <c r="D39" i="11"/>
  <c r="H38" i="11"/>
  <c r="E39" i="11"/>
  <c r="D27" i="43"/>
  <c r="E27" i="43"/>
  <c r="G31" i="29"/>
  <c r="D32" i="29"/>
  <c r="H31" i="29"/>
  <c r="E32" i="29"/>
  <c r="H34" i="23"/>
  <c r="G34" i="23"/>
  <c r="D35" i="23"/>
  <c r="E35" i="23"/>
  <c r="H30" i="30"/>
  <c r="G30" i="30"/>
  <c r="D31" i="30"/>
  <c r="E31" i="30"/>
  <c r="G40" i="10"/>
  <c r="H40" i="10"/>
  <c r="E41" i="10"/>
  <c r="D41" i="10"/>
  <c r="I27" i="46"/>
  <c r="D29" i="39"/>
  <c r="E29" i="39"/>
  <c r="G28" i="45"/>
  <c r="I28" i="45" s="1"/>
  <c r="E30" i="37"/>
  <c r="D30" i="37"/>
  <c r="G37" i="6"/>
  <c r="D38" i="6"/>
  <c r="H37" i="6"/>
  <c r="E38" i="6"/>
  <c r="H39" i="7"/>
  <c r="D40" i="7"/>
  <c r="G39" i="7"/>
  <c r="E40" i="7"/>
  <c r="H31" i="28"/>
  <c r="G31" i="28"/>
  <c r="D32" i="28"/>
  <c r="E32" i="28"/>
  <c r="H28" i="39"/>
  <c r="D28" i="42"/>
  <c r="E28" i="42"/>
  <c r="H37" i="8"/>
  <c r="D38" i="8"/>
  <c r="G37" i="8"/>
  <c r="E38" i="8"/>
  <c r="D28" i="41"/>
  <c r="E28" i="41"/>
  <c r="H35" i="25"/>
  <c r="G35" i="25"/>
  <c r="D36" i="25"/>
  <c r="E36" i="25"/>
  <c r="F39" i="9"/>
  <c r="B39" i="9"/>
  <c r="G26" i="43"/>
  <c r="I26" i="43" s="1"/>
  <c r="D29" i="38"/>
  <c r="E29" i="38"/>
  <c r="D28" i="40"/>
  <c r="E28" i="40"/>
  <c r="G36" i="4"/>
  <c r="D37" i="4"/>
  <c r="H36" i="4"/>
  <c r="E37" i="4"/>
  <c r="G28" i="39"/>
  <c r="G27" i="42"/>
  <c r="I27" i="42" s="1"/>
  <c r="F28" i="46"/>
  <c r="G28" i="46" s="1"/>
  <c r="B28" i="46"/>
  <c r="J109" i="13"/>
  <c r="G110" i="13"/>
  <c r="D111" i="13"/>
  <c r="E111" i="13" s="1"/>
  <c r="J112" i="49" l="1"/>
  <c r="I26" i="48"/>
  <c r="G113" i="49"/>
  <c r="D114" i="49"/>
  <c r="E114" i="49" s="1"/>
  <c r="D114" i="48"/>
  <c r="G113" i="48"/>
  <c r="F27" i="47"/>
  <c r="H27" i="47" s="1"/>
  <c r="B27" i="47"/>
  <c r="F28" i="49"/>
  <c r="H28" i="49" s="1"/>
  <c r="B28" i="49"/>
  <c r="G28" i="49"/>
  <c r="B27" i="48"/>
  <c r="F27" i="48"/>
  <c r="H27" i="48" s="1"/>
  <c r="G27" i="48"/>
  <c r="H28" i="13"/>
  <c r="G28" i="13"/>
  <c r="D29" i="13"/>
  <c r="B29" i="44"/>
  <c r="E29" i="44"/>
  <c r="F29" i="44" s="1"/>
  <c r="I36" i="4"/>
  <c r="I36" i="5"/>
  <c r="I35" i="25"/>
  <c r="I30" i="30"/>
  <c r="I34" i="23"/>
  <c r="I32" i="27"/>
  <c r="I39" i="7"/>
  <c r="B33" i="27"/>
  <c r="F33" i="27"/>
  <c r="I31" i="29"/>
  <c r="I31" i="31"/>
  <c r="I36" i="3"/>
  <c r="I28" i="39"/>
  <c r="I31" i="28"/>
  <c r="F37" i="4"/>
  <c r="B37" i="4"/>
  <c r="E40" i="9"/>
  <c r="H39" i="9"/>
  <c r="D40" i="9"/>
  <c r="G39" i="9"/>
  <c r="B31" i="30"/>
  <c r="F31" i="30"/>
  <c r="B27" i="43"/>
  <c r="F27" i="43"/>
  <c r="H27" i="43" s="1"/>
  <c r="B37" i="3"/>
  <c r="F37" i="3"/>
  <c r="F29" i="38"/>
  <c r="B29" i="38"/>
  <c r="F38" i="8"/>
  <c r="B38" i="8"/>
  <c r="B30" i="37"/>
  <c r="F30" i="37"/>
  <c r="H30" i="37" s="1"/>
  <c r="I40" i="10"/>
  <c r="B32" i="29"/>
  <c r="F32" i="29"/>
  <c r="I35" i="22"/>
  <c r="D29" i="46"/>
  <c r="E29" i="46" s="1"/>
  <c r="H28" i="46"/>
  <c r="I28" i="46" s="1"/>
  <c r="B36" i="25"/>
  <c r="F36" i="25"/>
  <c r="B28" i="41"/>
  <c r="F28" i="41"/>
  <c r="G28" i="41" s="1"/>
  <c r="I37" i="8"/>
  <c r="B32" i="28"/>
  <c r="F32" i="28"/>
  <c r="I37" i="6"/>
  <c r="I38" i="11"/>
  <c r="I33" i="24"/>
  <c r="F29" i="39"/>
  <c r="G29" i="39" s="1"/>
  <c r="B29" i="39"/>
  <c r="B35" i="23"/>
  <c r="F35" i="23"/>
  <c r="B32" i="31"/>
  <c r="F32" i="31"/>
  <c r="B28" i="40"/>
  <c r="F28" i="40"/>
  <c r="H28" i="40" s="1"/>
  <c r="B28" i="42"/>
  <c r="F28" i="42"/>
  <c r="G28" i="42" s="1"/>
  <c r="B40" i="7"/>
  <c r="F40" i="7"/>
  <c r="F38" i="6"/>
  <c r="B38" i="6"/>
  <c r="B41" i="10"/>
  <c r="F41" i="10"/>
  <c r="F39" i="11"/>
  <c r="B39" i="11"/>
  <c r="F34" i="24"/>
  <c r="B34" i="24"/>
  <c r="F29" i="45"/>
  <c r="B29" i="45"/>
  <c r="B36" i="22"/>
  <c r="F36" i="22"/>
  <c r="F37" i="5"/>
  <c r="B37" i="5"/>
  <c r="H110" i="13"/>
  <c r="I110" i="13"/>
  <c r="B111" i="13"/>
  <c r="F111" i="13"/>
  <c r="G27" i="47" l="1"/>
  <c r="I27" i="47" s="1"/>
  <c r="I27" i="48"/>
  <c r="I28" i="49"/>
  <c r="E114" i="48"/>
  <c r="F114" i="48" s="1"/>
  <c r="B114" i="48"/>
  <c r="F114" i="49"/>
  <c r="B114" i="49"/>
  <c r="I113" i="48"/>
  <c r="H113" i="48"/>
  <c r="H113" i="49"/>
  <c r="I113" i="49"/>
  <c r="D28" i="48"/>
  <c r="E28" i="48"/>
  <c r="D29" i="49"/>
  <c r="E29" i="49"/>
  <c r="D28" i="47"/>
  <c r="E28" i="47"/>
  <c r="I28" i="13"/>
  <c r="E29" i="13"/>
  <c r="F29" i="13" s="1"/>
  <c r="B29" i="13"/>
  <c r="H29" i="44"/>
  <c r="D30" i="44"/>
  <c r="G29" i="44"/>
  <c r="G30" i="37"/>
  <c r="I30" i="37" s="1"/>
  <c r="H28" i="41"/>
  <c r="I28" i="41" s="1"/>
  <c r="G27" i="43"/>
  <c r="I27" i="43" s="1"/>
  <c r="H29" i="39"/>
  <c r="I29" i="39" s="1"/>
  <c r="E34" i="27"/>
  <c r="G33" i="27"/>
  <c r="H33" i="27"/>
  <c r="D34" i="27"/>
  <c r="D30" i="45"/>
  <c r="E30" i="45" s="1"/>
  <c r="G39" i="11"/>
  <c r="H39" i="11"/>
  <c r="D40" i="11"/>
  <c r="E40" i="11"/>
  <c r="D39" i="6"/>
  <c r="H38" i="6"/>
  <c r="G38" i="6"/>
  <c r="E39" i="6"/>
  <c r="D29" i="42"/>
  <c r="E29" i="42"/>
  <c r="G32" i="29"/>
  <c r="D33" i="29"/>
  <c r="H32" i="29"/>
  <c r="E33" i="29"/>
  <c r="G38" i="8"/>
  <c r="D39" i="8"/>
  <c r="H38" i="8"/>
  <c r="E39" i="8"/>
  <c r="D30" i="38"/>
  <c r="E30" i="38"/>
  <c r="F40" i="9"/>
  <c r="B40" i="9"/>
  <c r="H37" i="4"/>
  <c r="D38" i="4"/>
  <c r="G37" i="4"/>
  <c r="E38" i="4"/>
  <c r="D33" i="31"/>
  <c r="H32" i="31"/>
  <c r="G32" i="31"/>
  <c r="E33" i="31"/>
  <c r="D33" i="28"/>
  <c r="G32" i="28"/>
  <c r="H32" i="28"/>
  <c r="E33" i="28"/>
  <c r="D38" i="5"/>
  <c r="H37" i="5"/>
  <c r="G37" i="5"/>
  <c r="E38" i="5"/>
  <c r="G29" i="45"/>
  <c r="H34" i="24"/>
  <c r="G34" i="24"/>
  <c r="D35" i="24"/>
  <c r="E35" i="24"/>
  <c r="G41" i="10"/>
  <c r="D42" i="10"/>
  <c r="E42" i="10" s="1"/>
  <c r="H41" i="10"/>
  <c r="D41" i="7"/>
  <c r="G40" i="7"/>
  <c r="H40" i="7"/>
  <c r="E41" i="7"/>
  <c r="D36" i="23"/>
  <c r="H35" i="23"/>
  <c r="G35" i="23"/>
  <c r="E36" i="23"/>
  <c r="D30" i="39"/>
  <c r="E30" i="39"/>
  <c r="E31" i="37"/>
  <c r="D31" i="37"/>
  <c r="H29" i="38"/>
  <c r="H37" i="3"/>
  <c r="D38" i="3"/>
  <c r="G37" i="3"/>
  <c r="E38" i="3"/>
  <c r="D28" i="43"/>
  <c r="E28" i="43"/>
  <c r="H31" i="30"/>
  <c r="D32" i="30"/>
  <c r="G31" i="30"/>
  <c r="E32" i="30"/>
  <c r="I39" i="9"/>
  <c r="D29" i="40"/>
  <c r="E29" i="40"/>
  <c r="H36" i="22"/>
  <c r="D37" i="22"/>
  <c r="G36" i="22"/>
  <c r="E37" i="22"/>
  <c r="H29" i="45"/>
  <c r="H28" i="42"/>
  <c r="I28" i="42" s="1"/>
  <c r="G28" i="40"/>
  <c r="I28" i="40" s="1"/>
  <c r="D29" i="41"/>
  <c r="E29" i="41"/>
  <c r="H36" i="25"/>
  <c r="D37" i="25"/>
  <c r="G36" i="25"/>
  <c r="E37" i="25"/>
  <c r="F29" i="46"/>
  <c r="G29" i="46" s="1"/>
  <c r="B29" i="46"/>
  <c r="G29" i="38"/>
  <c r="J110" i="13"/>
  <c r="G111" i="13"/>
  <c r="D112" i="13"/>
  <c r="E112" i="13" s="1"/>
  <c r="D115" i="49" l="1"/>
  <c r="E115" i="49"/>
  <c r="G114" i="49"/>
  <c r="J113" i="48"/>
  <c r="D115" i="48"/>
  <c r="G114" i="48"/>
  <c r="J113" i="49"/>
  <c r="F29" i="49"/>
  <c r="H29" i="49" s="1"/>
  <c r="B29" i="49"/>
  <c r="B28" i="47"/>
  <c r="F28" i="47"/>
  <c r="H28" i="47" s="1"/>
  <c r="F28" i="48"/>
  <c r="G28" i="48" s="1"/>
  <c r="B28" i="48"/>
  <c r="I29" i="45"/>
  <c r="H29" i="13"/>
  <c r="D30" i="13"/>
  <c r="G29" i="13"/>
  <c r="I39" i="11"/>
  <c r="I32" i="28"/>
  <c r="E30" i="44"/>
  <c r="F30" i="44" s="1"/>
  <c r="B30" i="44"/>
  <c r="I29" i="44"/>
  <c r="I36" i="22"/>
  <c r="I37" i="3"/>
  <c r="I34" i="24"/>
  <c r="I37" i="5"/>
  <c r="H29" i="46"/>
  <c r="I29" i="46" s="1"/>
  <c r="I40" i="7"/>
  <c r="I33" i="27"/>
  <c r="F34" i="27"/>
  <c r="B34" i="27"/>
  <c r="I37" i="4"/>
  <c r="B38" i="3"/>
  <c r="F38" i="3"/>
  <c r="F30" i="39"/>
  <c r="H30" i="39" s="1"/>
  <c r="B30" i="39"/>
  <c r="F30" i="38"/>
  <c r="H30" i="38" s="1"/>
  <c r="B30" i="38"/>
  <c r="B37" i="25"/>
  <c r="F37" i="25"/>
  <c r="F28" i="43"/>
  <c r="H28" i="43" s="1"/>
  <c r="B28" i="43"/>
  <c r="I41" i="10"/>
  <c r="F38" i="5"/>
  <c r="B38" i="5"/>
  <c r="I32" i="31"/>
  <c r="B40" i="11"/>
  <c r="F40" i="11"/>
  <c r="B36" i="23"/>
  <c r="F36" i="23"/>
  <c r="D30" i="46"/>
  <c r="E30" i="46" s="1"/>
  <c r="I36" i="25"/>
  <c r="B32" i="30"/>
  <c r="F32" i="30"/>
  <c r="I29" i="38"/>
  <c r="F42" i="10"/>
  <c r="B42" i="10"/>
  <c r="B35" i="24"/>
  <c r="F35" i="24"/>
  <c r="F33" i="28"/>
  <c r="B33" i="28"/>
  <c r="F33" i="31"/>
  <c r="B33" i="31"/>
  <c r="G40" i="9"/>
  <c r="E41" i="9"/>
  <c r="H40" i="9"/>
  <c r="D41" i="9"/>
  <c r="I38" i="8"/>
  <c r="I38" i="6"/>
  <c r="F30" i="45"/>
  <c r="G30" i="45" s="1"/>
  <c r="B30" i="45"/>
  <c r="B29" i="41"/>
  <c r="F29" i="41"/>
  <c r="F41" i="7"/>
  <c r="B41" i="7"/>
  <c r="B33" i="29"/>
  <c r="F33" i="29"/>
  <c r="B37" i="22"/>
  <c r="F37" i="22"/>
  <c r="F29" i="40"/>
  <c r="H29" i="40" s="1"/>
  <c r="B29" i="40"/>
  <c r="I31" i="30"/>
  <c r="F31" i="37"/>
  <c r="H31" i="37" s="1"/>
  <c r="B31" i="37"/>
  <c r="I35" i="23"/>
  <c r="B38" i="4"/>
  <c r="F38" i="4"/>
  <c r="F39" i="8"/>
  <c r="B39" i="8"/>
  <c r="I32" i="29"/>
  <c r="B29" i="42"/>
  <c r="F29" i="42"/>
  <c r="G29" i="42" s="1"/>
  <c r="F39" i="6"/>
  <c r="B39" i="6"/>
  <c r="B112" i="13"/>
  <c r="F112" i="13"/>
  <c r="I111" i="13"/>
  <c r="H111" i="13"/>
  <c r="G28" i="47" l="1"/>
  <c r="I114" i="49"/>
  <c r="H114" i="49"/>
  <c r="I114" i="48"/>
  <c r="H114" i="48"/>
  <c r="E115" i="48"/>
  <c r="F115" i="48" s="1"/>
  <c r="B115" i="48"/>
  <c r="F115" i="49"/>
  <c r="B115" i="49"/>
  <c r="D30" i="49"/>
  <c r="E30" i="49"/>
  <c r="I28" i="47"/>
  <c r="D29" i="47"/>
  <c r="E29" i="47"/>
  <c r="H28" i="48"/>
  <c r="I28" i="48" s="1"/>
  <c r="D29" i="48"/>
  <c r="E29" i="48"/>
  <c r="G29" i="49"/>
  <c r="I29" i="49" s="1"/>
  <c r="E30" i="13"/>
  <c r="F30" i="13" s="1"/>
  <c r="B30" i="13"/>
  <c r="I29" i="13"/>
  <c r="G30" i="44"/>
  <c r="H30" i="44"/>
  <c r="D31" i="44"/>
  <c r="G29" i="40"/>
  <c r="I29" i="40" s="1"/>
  <c r="G34" i="27"/>
  <c r="E35" i="27"/>
  <c r="H34" i="27"/>
  <c r="D35" i="27"/>
  <c r="D38" i="22"/>
  <c r="G37" i="22"/>
  <c r="H37" i="22"/>
  <c r="E38" i="22"/>
  <c r="G33" i="28"/>
  <c r="D34" i="28"/>
  <c r="H33" i="28"/>
  <c r="E34" i="28"/>
  <c r="E43" i="10"/>
  <c r="G42" i="10"/>
  <c r="D43" i="10"/>
  <c r="H42" i="10"/>
  <c r="D38" i="25"/>
  <c r="G37" i="25"/>
  <c r="H37" i="25"/>
  <c r="E38" i="25"/>
  <c r="D30" i="42"/>
  <c r="E30" i="42"/>
  <c r="D32" i="37"/>
  <c r="E32" i="37"/>
  <c r="H41" i="7"/>
  <c r="D42" i="7"/>
  <c r="E42" i="7" s="1"/>
  <c r="G41" i="7"/>
  <c r="B41" i="9"/>
  <c r="F41" i="9"/>
  <c r="G35" i="24"/>
  <c r="D36" i="24"/>
  <c r="H35" i="24"/>
  <c r="E36" i="24"/>
  <c r="D29" i="43"/>
  <c r="E29" i="43"/>
  <c r="D31" i="38"/>
  <c r="E31" i="38"/>
  <c r="D31" i="39"/>
  <c r="E31" i="39"/>
  <c r="D30" i="41"/>
  <c r="E30" i="41"/>
  <c r="D31" i="45"/>
  <c r="E31" i="45" s="1"/>
  <c r="G36" i="23"/>
  <c r="D37" i="23"/>
  <c r="H36" i="23"/>
  <c r="E37" i="23"/>
  <c r="D39" i="5"/>
  <c r="H38" i="5"/>
  <c r="G38" i="5"/>
  <c r="E39" i="5"/>
  <c r="D40" i="8"/>
  <c r="G39" i="8"/>
  <c r="H39" i="8"/>
  <c r="E40" i="8"/>
  <c r="G31" i="37"/>
  <c r="I31" i="37" s="1"/>
  <c r="H33" i="29"/>
  <c r="D34" i="29"/>
  <c r="G33" i="29"/>
  <c r="E34" i="29"/>
  <c r="H29" i="41"/>
  <c r="I40" i="9"/>
  <c r="D34" i="31"/>
  <c r="G33" i="31"/>
  <c r="H33" i="31"/>
  <c r="E34" i="31"/>
  <c r="G32" i="30"/>
  <c r="H32" i="30"/>
  <c r="D33" i="30"/>
  <c r="E33" i="30"/>
  <c r="F30" i="46"/>
  <c r="H30" i="46" s="1"/>
  <c r="B30" i="46"/>
  <c r="H40" i="11"/>
  <c r="D41" i="11"/>
  <c r="G40" i="11"/>
  <c r="E41" i="11"/>
  <c r="G38" i="3"/>
  <c r="H38" i="3"/>
  <c r="D39" i="3"/>
  <c r="E39" i="3"/>
  <c r="H39" i="6"/>
  <c r="G39" i="6"/>
  <c r="D40" i="6"/>
  <c r="E40" i="6"/>
  <c r="H29" i="42"/>
  <c r="I29" i="42" s="1"/>
  <c r="G38" i="4"/>
  <c r="H38" i="4"/>
  <c r="D39" i="4"/>
  <c r="E39" i="4"/>
  <c r="D30" i="40"/>
  <c r="E30" i="40"/>
  <c r="G29" i="41"/>
  <c r="H30" i="45"/>
  <c r="I30" i="45" s="1"/>
  <c r="G28" i="43"/>
  <c r="I28" i="43" s="1"/>
  <c r="G30" i="38"/>
  <c r="I30" i="38" s="1"/>
  <c r="G30" i="39"/>
  <c r="I30" i="39" s="1"/>
  <c r="J111" i="13"/>
  <c r="G112" i="13"/>
  <c r="D113" i="13"/>
  <c r="E113" i="13" s="1"/>
  <c r="G115" i="49" l="1"/>
  <c r="D116" i="49"/>
  <c r="G115" i="48"/>
  <c r="D116" i="48"/>
  <c r="J114" i="48"/>
  <c r="J114" i="49"/>
  <c r="B29" i="48"/>
  <c r="F29" i="48"/>
  <c r="H29" i="48" s="1"/>
  <c r="B30" i="49"/>
  <c r="F30" i="49"/>
  <c r="G30" i="49" s="1"/>
  <c r="F29" i="47"/>
  <c r="H29" i="47" s="1"/>
  <c r="B29" i="47"/>
  <c r="I30" i="44"/>
  <c r="H30" i="13"/>
  <c r="G30" i="13"/>
  <c r="D31" i="13"/>
  <c r="E31" i="44"/>
  <c r="F31" i="44" s="1"/>
  <c r="B31" i="44"/>
  <c r="I41" i="7"/>
  <c r="I38" i="3"/>
  <c r="I35" i="24"/>
  <c r="I40" i="11"/>
  <c r="I38" i="5"/>
  <c r="F35" i="27"/>
  <c r="B35" i="27"/>
  <c r="I32" i="30"/>
  <c r="I37" i="25"/>
  <c r="I33" i="28"/>
  <c r="I37" i="22"/>
  <c r="I34" i="27"/>
  <c r="I39" i="6"/>
  <c r="D31" i="46"/>
  <c r="F34" i="31"/>
  <c r="B34" i="31"/>
  <c r="B39" i="5"/>
  <c r="F39" i="5"/>
  <c r="B30" i="41"/>
  <c r="F30" i="41"/>
  <c r="G30" i="41" s="1"/>
  <c r="B31" i="38"/>
  <c r="F31" i="38"/>
  <c r="G31" i="38" s="1"/>
  <c r="B30" i="42"/>
  <c r="F30" i="42"/>
  <c r="H30" i="42" s="1"/>
  <c r="B34" i="28"/>
  <c r="F34" i="28"/>
  <c r="F30" i="40"/>
  <c r="B30" i="40"/>
  <c r="F41" i="11"/>
  <c r="B41" i="11"/>
  <c r="F40" i="8"/>
  <c r="B40" i="8"/>
  <c r="B42" i="7"/>
  <c r="F42" i="7"/>
  <c r="F39" i="4"/>
  <c r="B39" i="4"/>
  <c r="G30" i="46"/>
  <c r="I30" i="46" s="1"/>
  <c r="F34" i="29"/>
  <c r="B34" i="29"/>
  <c r="I39" i="8"/>
  <c r="B36" i="24"/>
  <c r="F36" i="24"/>
  <c r="F38" i="25"/>
  <c r="B38" i="25"/>
  <c r="B38" i="22"/>
  <c r="F38" i="22"/>
  <c r="F37" i="23"/>
  <c r="B37" i="23"/>
  <c r="G41" i="9"/>
  <c r="D42" i="9"/>
  <c r="E42" i="9" s="1"/>
  <c r="H41" i="9"/>
  <c r="B43" i="10"/>
  <c r="F43" i="10"/>
  <c r="I38" i="4"/>
  <c r="B40" i="6"/>
  <c r="F40" i="6"/>
  <c r="F39" i="3"/>
  <c r="B39" i="3"/>
  <c r="F33" i="30"/>
  <c r="B33" i="30"/>
  <c r="I33" i="31"/>
  <c r="I29" i="41"/>
  <c r="I33" i="29"/>
  <c r="I36" i="23"/>
  <c r="F31" i="45"/>
  <c r="H31" i="45" s="1"/>
  <c r="B31" i="45"/>
  <c r="B31" i="39"/>
  <c r="F31" i="39"/>
  <c r="G31" i="39" s="1"/>
  <c r="F29" i="43"/>
  <c r="H29" i="43" s="1"/>
  <c r="B29" i="43"/>
  <c r="F32" i="37"/>
  <c r="B32" i="37"/>
  <c r="I42" i="10"/>
  <c r="I112" i="13"/>
  <c r="H112" i="13"/>
  <c r="B113" i="13"/>
  <c r="F113" i="13"/>
  <c r="G29" i="47" l="1"/>
  <c r="H30" i="49"/>
  <c r="I30" i="49" s="1"/>
  <c r="G29" i="48"/>
  <c r="I29" i="48" s="1"/>
  <c r="E116" i="48"/>
  <c r="F116" i="48" s="1"/>
  <c r="B116" i="48"/>
  <c r="H115" i="48"/>
  <c r="I115" i="48"/>
  <c r="E116" i="49"/>
  <c r="F116" i="49" s="1"/>
  <c r="B116" i="49"/>
  <c r="H115" i="49"/>
  <c r="I115" i="49"/>
  <c r="I29" i="47"/>
  <c r="D31" i="49"/>
  <c r="E31" i="49"/>
  <c r="D30" i="48"/>
  <c r="E30" i="48"/>
  <c r="D30" i="47"/>
  <c r="E30" i="47"/>
  <c r="I30" i="13"/>
  <c r="E31" i="13"/>
  <c r="F31" i="13" s="1"/>
  <c r="B31" i="13"/>
  <c r="D32" i="44"/>
  <c r="H31" i="44"/>
  <c r="G31" i="44"/>
  <c r="H31" i="38"/>
  <c r="I31" i="38" s="1"/>
  <c r="G31" i="45"/>
  <c r="I31" i="45" s="1"/>
  <c r="H35" i="27"/>
  <c r="D36" i="27"/>
  <c r="G35" i="27"/>
  <c r="D33" i="37"/>
  <c r="E33" i="37"/>
  <c r="D40" i="3"/>
  <c r="G39" i="3"/>
  <c r="H39" i="3"/>
  <c r="E40" i="3"/>
  <c r="D31" i="40"/>
  <c r="E31" i="40"/>
  <c r="G29" i="43"/>
  <c r="I29" i="43" s="1"/>
  <c r="D32" i="39"/>
  <c r="E32" i="39"/>
  <c r="H40" i="6"/>
  <c r="D41" i="6"/>
  <c r="E41" i="6" s="1"/>
  <c r="G40" i="6"/>
  <c r="G38" i="25"/>
  <c r="H38" i="25"/>
  <c r="D39" i="25"/>
  <c r="E39" i="25"/>
  <c r="G30" i="40"/>
  <c r="G30" i="42"/>
  <c r="I30" i="42" s="1"/>
  <c r="D35" i="31"/>
  <c r="G34" i="31"/>
  <c r="H34" i="31"/>
  <c r="E35" i="31"/>
  <c r="D44" i="10"/>
  <c r="E44" i="10"/>
  <c r="H43" i="10"/>
  <c r="G43" i="10"/>
  <c r="H32" i="37"/>
  <c r="H31" i="39"/>
  <c r="I31" i="39" s="1"/>
  <c r="G33" i="30"/>
  <c r="D34" i="30"/>
  <c r="H33" i="30"/>
  <c r="E34" i="30"/>
  <c r="I41" i="9"/>
  <c r="G38" i="22"/>
  <c r="H38" i="22"/>
  <c r="D39" i="22"/>
  <c r="E39" i="22"/>
  <c r="G36" i="24"/>
  <c r="D37" i="24"/>
  <c r="H36" i="24"/>
  <c r="E37" i="24"/>
  <c r="H39" i="4"/>
  <c r="G39" i="4"/>
  <c r="D40" i="4"/>
  <c r="E40" i="4" s="1"/>
  <c r="G40" i="8"/>
  <c r="D41" i="8"/>
  <c r="E41" i="8" s="1"/>
  <c r="H40" i="8"/>
  <c r="H34" i="28"/>
  <c r="G34" i="28"/>
  <c r="D35" i="28"/>
  <c r="E35" i="28"/>
  <c r="D31" i="41"/>
  <c r="E31" i="41"/>
  <c r="D40" i="5"/>
  <c r="G39" i="5"/>
  <c r="H39" i="5"/>
  <c r="E40" i="5"/>
  <c r="B31" i="46"/>
  <c r="D30" i="43"/>
  <c r="E30" i="43"/>
  <c r="H37" i="23"/>
  <c r="D38" i="23"/>
  <c r="G37" i="23"/>
  <c r="E38" i="23"/>
  <c r="G41" i="11"/>
  <c r="H41" i="11"/>
  <c r="D42" i="11"/>
  <c r="E42" i="11" s="1"/>
  <c r="D31" i="42"/>
  <c r="E31" i="42"/>
  <c r="G32" i="37"/>
  <c r="D32" i="45"/>
  <c r="B42" i="9"/>
  <c r="F42" i="9"/>
  <c r="G34" i="29"/>
  <c r="D35" i="29"/>
  <c r="H34" i="29"/>
  <c r="E35" i="29"/>
  <c r="D43" i="7"/>
  <c r="G42" i="7"/>
  <c r="H42" i="7"/>
  <c r="E43" i="7"/>
  <c r="H30" i="40"/>
  <c r="D32" i="38"/>
  <c r="E32" i="38"/>
  <c r="H30" i="41"/>
  <c r="I30" i="41" s="1"/>
  <c r="E31" i="46"/>
  <c r="F31" i="46" s="1"/>
  <c r="J112" i="13"/>
  <c r="G113" i="13"/>
  <c r="D114" i="13"/>
  <c r="J115" i="49" l="1"/>
  <c r="D117" i="49"/>
  <c r="B117" i="49" s="1"/>
  <c r="G116" i="49"/>
  <c r="E117" i="49"/>
  <c r="F117" i="49" s="1"/>
  <c r="D117" i="48"/>
  <c r="G116" i="48"/>
  <c r="J115" i="48"/>
  <c r="F30" i="48"/>
  <c r="G30" i="48" s="1"/>
  <c r="B30" i="48"/>
  <c r="F31" i="49"/>
  <c r="B31" i="49"/>
  <c r="F30" i="47"/>
  <c r="B30" i="47"/>
  <c r="H31" i="13"/>
  <c r="G31" i="13"/>
  <c r="D32" i="13"/>
  <c r="I38" i="25"/>
  <c r="I36" i="24"/>
  <c r="I38" i="22"/>
  <c r="I40" i="8"/>
  <c r="I39" i="3"/>
  <c r="I34" i="29"/>
  <c r="I33" i="30"/>
  <c r="I31" i="44"/>
  <c r="I34" i="31"/>
  <c r="E32" i="44"/>
  <c r="F32" i="44" s="1"/>
  <c r="B32" i="44"/>
  <c r="I30" i="40"/>
  <c r="I39" i="5"/>
  <c r="I40" i="6"/>
  <c r="I41" i="11"/>
  <c r="I43" i="10"/>
  <c r="I42" i="7"/>
  <c r="I32" i="37"/>
  <c r="B36" i="27"/>
  <c r="I35" i="27"/>
  <c r="E36" i="27"/>
  <c r="F36" i="27" s="1"/>
  <c r="D32" i="46"/>
  <c r="E32" i="46" s="1"/>
  <c r="H31" i="46"/>
  <c r="G31" i="46"/>
  <c r="F41" i="6"/>
  <c r="B41" i="6"/>
  <c r="B32" i="38"/>
  <c r="F32" i="38"/>
  <c r="H32" i="38" s="1"/>
  <c r="B35" i="29"/>
  <c r="F35" i="29"/>
  <c r="B32" i="45"/>
  <c r="B38" i="23"/>
  <c r="F38" i="23"/>
  <c r="I34" i="28"/>
  <c r="I39" i="4"/>
  <c r="B34" i="30"/>
  <c r="F34" i="30"/>
  <c r="B44" i="10"/>
  <c r="F44" i="10"/>
  <c r="F33" i="37"/>
  <c r="G33" i="37" s="1"/>
  <c r="B33" i="37"/>
  <c r="B30" i="43"/>
  <c r="F30" i="43"/>
  <c r="H30" i="43" s="1"/>
  <c r="F31" i="41"/>
  <c r="B31" i="41"/>
  <c r="B37" i="24"/>
  <c r="F37" i="24"/>
  <c r="B32" i="39"/>
  <c r="F32" i="39"/>
  <c r="G32" i="39" s="1"/>
  <c r="B43" i="7"/>
  <c r="F43" i="7"/>
  <c r="E32" i="45"/>
  <c r="F32" i="45" s="1"/>
  <c r="F31" i="42"/>
  <c r="H31" i="42" s="1"/>
  <c r="B31" i="42"/>
  <c r="I37" i="23"/>
  <c r="B40" i="5"/>
  <c r="F40" i="5"/>
  <c r="B42" i="11"/>
  <c r="F42" i="11"/>
  <c r="F41" i="8"/>
  <c r="B41" i="8"/>
  <c r="D43" i="9"/>
  <c r="E43" i="9" s="1"/>
  <c r="H42" i="9"/>
  <c r="G42" i="9"/>
  <c r="B35" i="28"/>
  <c r="F35" i="28"/>
  <c r="F40" i="4"/>
  <c r="B40" i="4"/>
  <c r="B39" i="22"/>
  <c r="F39" i="22"/>
  <c r="B35" i="31"/>
  <c r="F35" i="31"/>
  <c r="F39" i="25"/>
  <c r="B39" i="25"/>
  <c r="F31" i="40"/>
  <c r="B31" i="40"/>
  <c r="B40" i="3"/>
  <c r="F40" i="3"/>
  <c r="B114" i="13"/>
  <c r="H113" i="13"/>
  <c r="I113" i="13"/>
  <c r="E114" i="13"/>
  <c r="F114" i="13" s="1"/>
  <c r="E117" i="48" l="1"/>
  <c r="F117" i="48"/>
  <c r="B117" i="48"/>
  <c r="I116" i="49"/>
  <c r="J116" i="49" s="1"/>
  <c r="H116" i="49"/>
  <c r="G117" i="49"/>
  <c r="D118" i="49"/>
  <c r="I116" i="48"/>
  <c r="J116" i="48" s="1"/>
  <c r="H116" i="48"/>
  <c r="H30" i="47"/>
  <c r="D31" i="47"/>
  <c r="E31" i="47"/>
  <c r="D32" i="49"/>
  <c r="E32" i="49"/>
  <c r="G30" i="47"/>
  <c r="I30" i="47" s="1"/>
  <c r="G31" i="49"/>
  <c r="H31" i="49"/>
  <c r="H30" i="48"/>
  <c r="I30" i="48" s="1"/>
  <c r="D31" i="48"/>
  <c r="E31" i="48"/>
  <c r="I31" i="13"/>
  <c r="E32" i="13"/>
  <c r="F32" i="13"/>
  <c r="B32" i="13"/>
  <c r="G32" i="44"/>
  <c r="D33" i="44"/>
  <c r="H32" i="44"/>
  <c r="G32" i="38"/>
  <c r="I32" i="38" s="1"/>
  <c r="H36" i="27"/>
  <c r="G36" i="27"/>
  <c r="D37" i="27"/>
  <c r="G31" i="42"/>
  <c r="I31" i="42" s="1"/>
  <c r="D33" i="45"/>
  <c r="G32" i="45"/>
  <c r="H32" i="45"/>
  <c r="D32" i="41"/>
  <c r="E32" i="41"/>
  <c r="D32" i="40"/>
  <c r="E32" i="40"/>
  <c r="D41" i="4"/>
  <c r="H40" i="4"/>
  <c r="G40" i="4"/>
  <c r="E41" i="4"/>
  <c r="I42" i="9"/>
  <c r="H41" i="8"/>
  <c r="D42" i="8"/>
  <c r="E42" i="8" s="1"/>
  <c r="G41" i="8"/>
  <c r="G40" i="5"/>
  <c r="H40" i="5"/>
  <c r="D41" i="5"/>
  <c r="E41" i="5" s="1"/>
  <c r="H43" i="7"/>
  <c r="G43" i="7"/>
  <c r="D44" i="7"/>
  <c r="E44" i="7"/>
  <c r="D33" i="39"/>
  <c r="E33" i="39"/>
  <c r="G31" i="41"/>
  <c r="D34" i="37"/>
  <c r="E34" i="37"/>
  <c r="I31" i="46"/>
  <c r="H31" i="40"/>
  <c r="H39" i="22"/>
  <c r="D40" i="22"/>
  <c r="E40" i="22" s="1"/>
  <c r="G39" i="22"/>
  <c r="D36" i="28"/>
  <c r="G35" i="28"/>
  <c r="H35" i="28"/>
  <c r="E36" i="28"/>
  <c r="B43" i="9"/>
  <c r="F43" i="9"/>
  <c r="G42" i="11"/>
  <c r="H42" i="11"/>
  <c r="D43" i="11"/>
  <c r="E43" i="11" s="1"/>
  <c r="H31" i="41"/>
  <c r="D45" i="10"/>
  <c r="H44" i="10"/>
  <c r="G44" i="10"/>
  <c r="E45" i="10"/>
  <c r="D35" i="30"/>
  <c r="G34" i="30"/>
  <c r="H34" i="30"/>
  <c r="E35" i="30"/>
  <c r="D39" i="23"/>
  <c r="E39" i="23" s="1"/>
  <c r="G38" i="23"/>
  <c r="H38" i="23"/>
  <c r="D41" i="3"/>
  <c r="E41" i="3" s="1"/>
  <c r="G40" i="3"/>
  <c r="H40" i="3"/>
  <c r="D36" i="31"/>
  <c r="G35" i="31"/>
  <c r="H35" i="31"/>
  <c r="E36" i="31"/>
  <c r="H37" i="24"/>
  <c r="D38" i="24"/>
  <c r="G37" i="24"/>
  <c r="E38" i="24"/>
  <c r="D31" i="43"/>
  <c r="E31" i="43"/>
  <c r="H35" i="29"/>
  <c r="G35" i="29"/>
  <c r="D36" i="29"/>
  <c r="E36" i="29"/>
  <c r="G31" i="40"/>
  <c r="D40" i="25"/>
  <c r="E40" i="25" s="1"/>
  <c r="H39" i="25"/>
  <c r="G39" i="25"/>
  <c r="D32" i="42"/>
  <c r="E32" i="42"/>
  <c r="H32" i="39"/>
  <c r="I32" i="39" s="1"/>
  <c r="G30" i="43"/>
  <c r="I30" i="43" s="1"/>
  <c r="H33" i="37"/>
  <c r="I33" i="37" s="1"/>
  <c r="D33" i="38"/>
  <c r="E33" i="38"/>
  <c r="G41" i="6"/>
  <c r="H41" i="6"/>
  <c r="D42" i="6"/>
  <c r="E42" i="6" s="1"/>
  <c r="F32" i="46"/>
  <c r="G32" i="46" s="1"/>
  <c r="B32" i="46"/>
  <c r="J113" i="13"/>
  <c r="G114" i="13"/>
  <c r="D115" i="13"/>
  <c r="E115" i="13" s="1"/>
  <c r="E118" i="49" l="1"/>
  <c r="F118" i="49" s="1"/>
  <c r="B118" i="49"/>
  <c r="I117" i="49"/>
  <c r="H117" i="49"/>
  <c r="G117" i="48"/>
  <c r="D118" i="48"/>
  <c r="B118" i="48" s="1"/>
  <c r="B31" i="48"/>
  <c r="F31" i="48"/>
  <c r="H31" i="48" s="1"/>
  <c r="G31" i="48"/>
  <c r="B32" i="49"/>
  <c r="F32" i="49"/>
  <c r="G32" i="49" s="1"/>
  <c r="H32" i="49"/>
  <c r="F31" i="47"/>
  <c r="H31" i="47" s="1"/>
  <c r="B31" i="47"/>
  <c r="I31" i="49"/>
  <c r="I32" i="44"/>
  <c r="H32" i="13"/>
  <c r="G32" i="13"/>
  <c r="D33" i="13"/>
  <c r="E33" i="44"/>
  <c r="F33" i="44" s="1"/>
  <c r="B33" i="44"/>
  <c r="I32" i="45"/>
  <c r="I41" i="6"/>
  <c r="I43" i="7"/>
  <c r="I39" i="25"/>
  <c r="I39" i="22"/>
  <c r="I37" i="24"/>
  <c r="H32" i="46"/>
  <c r="I32" i="46" s="1"/>
  <c r="I44" i="10"/>
  <c r="I31" i="41"/>
  <c r="I40" i="5"/>
  <c r="I41" i="8"/>
  <c r="B37" i="27"/>
  <c r="E37" i="27"/>
  <c r="F37" i="27" s="1"/>
  <c r="I36" i="27"/>
  <c r="F31" i="43"/>
  <c r="B31" i="43"/>
  <c r="B35" i="30"/>
  <c r="F35" i="30"/>
  <c r="F32" i="42"/>
  <c r="G32" i="42" s="1"/>
  <c r="B32" i="42"/>
  <c r="F40" i="25"/>
  <c r="B40" i="25"/>
  <c r="B43" i="11"/>
  <c r="F43" i="11"/>
  <c r="B36" i="28"/>
  <c r="F36" i="28"/>
  <c r="B34" i="37"/>
  <c r="F34" i="37"/>
  <c r="G34" i="37" s="1"/>
  <c r="I40" i="4"/>
  <c r="F33" i="38"/>
  <c r="H33" i="38" s="1"/>
  <c r="B33" i="38"/>
  <c r="B36" i="29"/>
  <c r="F36" i="29"/>
  <c r="F41" i="3"/>
  <c r="B41" i="3"/>
  <c r="F45" i="10"/>
  <c r="B45" i="10"/>
  <c r="G43" i="9"/>
  <c r="D44" i="9"/>
  <c r="E44" i="9" s="1"/>
  <c r="H43" i="9"/>
  <c r="B33" i="39"/>
  <c r="F33" i="39"/>
  <c r="G33" i="39" s="1"/>
  <c r="F42" i="8"/>
  <c r="B42" i="8"/>
  <c r="D33" i="46"/>
  <c r="I35" i="29"/>
  <c r="I35" i="31"/>
  <c r="I40" i="3"/>
  <c r="I38" i="23"/>
  <c r="I34" i="30"/>
  <c r="I42" i="11"/>
  <c r="I31" i="40"/>
  <c r="F44" i="7"/>
  <c r="B44" i="7"/>
  <c r="F41" i="4"/>
  <c r="B41" i="4"/>
  <c r="B32" i="41"/>
  <c r="F32" i="41"/>
  <c r="H32" i="41" s="1"/>
  <c r="B33" i="45"/>
  <c r="F42" i="6"/>
  <c r="B42" i="6"/>
  <c r="B36" i="31"/>
  <c r="F36" i="31"/>
  <c r="F39" i="23"/>
  <c r="B39" i="23"/>
  <c r="B40" i="22"/>
  <c r="F40" i="22"/>
  <c r="B32" i="40"/>
  <c r="F32" i="40"/>
  <c r="F38" i="24"/>
  <c r="B38" i="24"/>
  <c r="I35" i="28"/>
  <c r="F41" i="5"/>
  <c r="B41" i="5"/>
  <c r="E33" i="45"/>
  <c r="F33" i="45" s="1"/>
  <c r="B115" i="13"/>
  <c r="F115" i="13"/>
  <c r="H114" i="13"/>
  <c r="I114" i="13"/>
  <c r="J117" i="49" l="1"/>
  <c r="G31" i="47"/>
  <c r="I31" i="47" s="1"/>
  <c r="I32" i="49"/>
  <c r="E118" i="48"/>
  <c r="F118" i="48" s="1"/>
  <c r="D119" i="48" s="1"/>
  <c r="B119" i="48" s="1"/>
  <c r="I117" i="48"/>
  <c r="H117" i="48"/>
  <c r="G118" i="49"/>
  <c r="D119" i="49"/>
  <c r="I31" i="48"/>
  <c r="D33" i="49"/>
  <c r="E33" i="49"/>
  <c r="D32" i="48"/>
  <c r="E32" i="48"/>
  <c r="D32" i="47"/>
  <c r="E32" i="47"/>
  <c r="I32" i="13"/>
  <c r="E33" i="13"/>
  <c r="F33" i="13" s="1"/>
  <c r="H33" i="13" s="1"/>
  <c r="B33" i="13"/>
  <c r="G33" i="38"/>
  <c r="I33" i="38" s="1"/>
  <c r="D34" i="44"/>
  <c r="G33" i="44"/>
  <c r="H33" i="44"/>
  <c r="D38" i="27"/>
  <c r="E38" i="27"/>
  <c r="G37" i="27"/>
  <c r="H37" i="27"/>
  <c r="D34" i="45"/>
  <c r="E34" i="45" s="1"/>
  <c r="H33" i="45"/>
  <c r="G33" i="45"/>
  <c r="D33" i="40"/>
  <c r="E33" i="40"/>
  <c r="D37" i="31"/>
  <c r="E37" i="31" s="1"/>
  <c r="G36" i="31"/>
  <c r="H36" i="31"/>
  <c r="H36" i="28"/>
  <c r="G36" i="28"/>
  <c r="D37" i="28"/>
  <c r="E37" i="28"/>
  <c r="G32" i="40"/>
  <c r="D33" i="41"/>
  <c r="E33" i="41"/>
  <c r="H41" i="4"/>
  <c r="G41" i="4"/>
  <c r="D42" i="4"/>
  <c r="E42" i="4" s="1"/>
  <c r="B33" i="46"/>
  <c r="D34" i="39"/>
  <c r="E34" i="39"/>
  <c r="I43" i="9"/>
  <c r="G36" i="29"/>
  <c r="D37" i="29"/>
  <c r="E37" i="29" s="1"/>
  <c r="H36" i="29"/>
  <c r="H34" i="37"/>
  <c r="I34" i="37" s="1"/>
  <c r="D41" i="25"/>
  <c r="E41" i="25" s="1"/>
  <c r="G40" i="25"/>
  <c r="H40" i="25"/>
  <c r="D33" i="42"/>
  <c r="E33" i="42"/>
  <c r="D32" i="43"/>
  <c r="E32" i="43"/>
  <c r="D41" i="22"/>
  <c r="E41" i="22" s="1"/>
  <c r="G40" i="22"/>
  <c r="H40" i="22"/>
  <c r="D43" i="8"/>
  <c r="E43" i="8" s="1"/>
  <c r="G42" i="8"/>
  <c r="H42" i="8"/>
  <c r="D39" i="24"/>
  <c r="E39" i="24" s="1"/>
  <c r="G38" i="24"/>
  <c r="H38" i="24"/>
  <c r="G32" i="41"/>
  <c r="I32" i="41" s="1"/>
  <c r="E33" i="46"/>
  <c r="F33" i="46" s="1"/>
  <c r="D46" i="10"/>
  <c r="H45" i="10"/>
  <c r="E46" i="10"/>
  <c r="G45" i="10"/>
  <c r="D34" i="38"/>
  <c r="E34" i="38"/>
  <c r="D44" i="11"/>
  <c r="E44" i="11" s="1"/>
  <c r="G43" i="11"/>
  <c r="H43" i="11"/>
  <c r="G35" i="30"/>
  <c r="D36" i="30"/>
  <c r="E36" i="30" s="1"/>
  <c r="H35" i="30"/>
  <c r="H31" i="43"/>
  <c r="H41" i="3"/>
  <c r="D42" i="3"/>
  <c r="G41" i="3"/>
  <c r="E42" i="3"/>
  <c r="D35" i="37"/>
  <c r="E35" i="37" s="1"/>
  <c r="H41" i="5"/>
  <c r="G41" i="5"/>
  <c r="D42" i="5"/>
  <c r="E42" i="5"/>
  <c r="H32" i="40"/>
  <c r="D40" i="23"/>
  <c r="E40" i="23" s="1"/>
  <c r="G39" i="23"/>
  <c r="H39" i="23"/>
  <c r="G42" i="6"/>
  <c r="D43" i="6"/>
  <c r="H42" i="6"/>
  <c r="E43" i="6"/>
  <c r="H44" i="7"/>
  <c r="D45" i="7"/>
  <c r="G44" i="7"/>
  <c r="E45" i="7"/>
  <c r="H33" i="39"/>
  <c r="I33" i="39" s="1"/>
  <c r="B44" i="9"/>
  <c r="F44" i="9"/>
  <c r="H32" i="42"/>
  <c r="I32" i="42" s="1"/>
  <c r="G31" i="43"/>
  <c r="D116" i="13"/>
  <c r="G115" i="13"/>
  <c r="J114" i="13"/>
  <c r="E119" i="48" l="1"/>
  <c r="F119" i="48" s="1"/>
  <c r="G118" i="48"/>
  <c r="J117" i="48"/>
  <c r="E119" i="49"/>
  <c r="F119" i="49" s="1"/>
  <c r="B119" i="49"/>
  <c r="H118" i="48"/>
  <c r="I118" i="48"/>
  <c r="G119" i="48"/>
  <c r="D120" i="48"/>
  <c r="H118" i="49"/>
  <c r="I118" i="49"/>
  <c r="B32" i="47"/>
  <c r="F32" i="47"/>
  <c r="G32" i="47" s="1"/>
  <c r="F33" i="49"/>
  <c r="D34" i="49" s="1"/>
  <c r="H33" i="49"/>
  <c r="B33" i="49"/>
  <c r="F32" i="48"/>
  <c r="G32" i="48" s="1"/>
  <c r="B32" i="48"/>
  <c r="G33" i="13"/>
  <c r="I33" i="13" s="1"/>
  <c r="D34" i="13"/>
  <c r="I33" i="44"/>
  <c r="E34" i="44"/>
  <c r="F34" i="44" s="1"/>
  <c r="B34" i="44"/>
  <c r="I36" i="29"/>
  <c r="I32" i="40"/>
  <c r="I37" i="27"/>
  <c r="I36" i="28"/>
  <c r="I41" i="3"/>
  <c r="I31" i="43"/>
  <c r="F38" i="27"/>
  <c r="B38" i="27"/>
  <c r="D34" i="46"/>
  <c r="E34" i="46" s="1"/>
  <c r="H33" i="46"/>
  <c r="G33" i="46"/>
  <c r="I41" i="5"/>
  <c r="F44" i="11"/>
  <c r="B44" i="11"/>
  <c r="F39" i="24"/>
  <c r="B39" i="24"/>
  <c r="F43" i="8"/>
  <c r="B43" i="8"/>
  <c r="F41" i="22"/>
  <c r="B41" i="22"/>
  <c r="B33" i="42"/>
  <c r="F33" i="42"/>
  <c r="G33" i="42" s="1"/>
  <c r="F41" i="25"/>
  <c r="B41" i="25"/>
  <c r="F37" i="29"/>
  <c r="B37" i="29"/>
  <c r="F34" i="39"/>
  <c r="G34" i="39" s="1"/>
  <c r="B34" i="39"/>
  <c r="I41" i="4"/>
  <c r="B37" i="31"/>
  <c r="F37" i="31"/>
  <c r="I33" i="45"/>
  <c r="F40" i="23"/>
  <c r="B40" i="23"/>
  <c r="F36" i="30"/>
  <c r="B36" i="30"/>
  <c r="D45" i="9"/>
  <c r="E45" i="9"/>
  <c r="H44" i="9"/>
  <c r="G44" i="9"/>
  <c r="F45" i="7"/>
  <c r="B45" i="7"/>
  <c r="I42" i="6"/>
  <c r="I39" i="23"/>
  <c r="I45" i="10"/>
  <c r="B37" i="28"/>
  <c r="F37" i="28"/>
  <c r="B35" i="37"/>
  <c r="F35" i="37"/>
  <c r="H35" i="37" s="1"/>
  <c r="I44" i="7"/>
  <c r="F43" i="6"/>
  <c r="B43" i="6"/>
  <c r="F42" i="5"/>
  <c r="B42" i="5"/>
  <c r="B42" i="3"/>
  <c r="F42" i="3"/>
  <c r="I35" i="30"/>
  <c r="I43" i="11"/>
  <c r="F34" i="38"/>
  <c r="G34" i="38" s="1"/>
  <c r="B34" i="38"/>
  <c r="B46" i="10"/>
  <c r="F46" i="10"/>
  <c r="I38" i="24"/>
  <c r="I42" i="8"/>
  <c r="I40" i="22"/>
  <c r="B32" i="43"/>
  <c r="F32" i="43"/>
  <c r="G32" i="43" s="1"/>
  <c r="I40" i="25"/>
  <c r="F42" i="4"/>
  <c r="B42" i="4"/>
  <c r="B33" i="41"/>
  <c r="F33" i="41"/>
  <c r="G33" i="41" s="1"/>
  <c r="I36" i="31"/>
  <c r="F33" i="40"/>
  <c r="B33" i="40"/>
  <c r="F34" i="45"/>
  <c r="G34" i="45" s="1"/>
  <c r="B34" i="45"/>
  <c r="H115" i="13"/>
  <c r="I115" i="13"/>
  <c r="B116" i="13"/>
  <c r="E116" i="13"/>
  <c r="F116" i="13" s="1"/>
  <c r="H32" i="47" l="1"/>
  <c r="I32" i="47" s="1"/>
  <c r="G33" i="49"/>
  <c r="I33" i="49" s="1"/>
  <c r="E120" i="48"/>
  <c r="F120" i="48"/>
  <c r="B120" i="48"/>
  <c r="D120" i="49"/>
  <c r="B120" i="49" s="1"/>
  <c r="G119" i="49"/>
  <c r="H119" i="48"/>
  <c r="I119" i="48"/>
  <c r="J118" i="49"/>
  <c r="J118" i="48"/>
  <c r="D33" i="47"/>
  <c r="E33" i="47"/>
  <c r="H32" i="48"/>
  <c r="I32" i="48" s="1"/>
  <c r="D33" i="48"/>
  <c r="E33" i="48"/>
  <c r="E34" i="49"/>
  <c r="F34" i="49" s="1"/>
  <c r="B34" i="49"/>
  <c r="E34" i="13"/>
  <c r="F34" i="13" s="1"/>
  <c r="H34" i="13" s="1"/>
  <c r="B34" i="13"/>
  <c r="G34" i="44"/>
  <c r="D35" i="44"/>
  <c r="H34" i="44"/>
  <c r="H33" i="41"/>
  <c r="I33" i="41" s="1"/>
  <c r="H34" i="38"/>
  <c r="I34" i="38" s="1"/>
  <c r="D39" i="27"/>
  <c r="G38" i="27"/>
  <c r="H38" i="27"/>
  <c r="I44" i="9"/>
  <c r="H33" i="42"/>
  <c r="I33" i="42" s="1"/>
  <c r="D34" i="40"/>
  <c r="E34" i="40"/>
  <c r="H42" i="5"/>
  <c r="D43" i="5"/>
  <c r="E43" i="5" s="1"/>
  <c r="G42" i="5"/>
  <c r="D36" i="37"/>
  <c r="E36" i="37" s="1"/>
  <c r="G37" i="28"/>
  <c r="D38" i="28"/>
  <c r="H37" i="28"/>
  <c r="E38" i="28"/>
  <c r="D46" i="7"/>
  <c r="G45" i="7"/>
  <c r="H45" i="7"/>
  <c r="E46" i="7"/>
  <c r="B45" i="9"/>
  <c r="F45" i="9"/>
  <c r="H40" i="23"/>
  <c r="G40" i="23"/>
  <c r="D41" i="23"/>
  <c r="E41" i="23"/>
  <c r="H34" i="39"/>
  <c r="I34" i="39" s="1"/>
  <c r="I33" i="46"/>
  <c r="H37" i="29"/>
  <c r="D38" i="29"/>
  <c r="G37" i="29"/>
  <c r="E38" i="29"/>
  <c r="H41" i="22"/>
  <c r="G41" i="22"/>
  <c r="D42" i="22"/>
  <c r="E42" i="22"/>
  <c r="D35" i="45"/>
  <c r="E35" i="45" s="1"/>
  <c r="D43" i="4"/>
  <c r="H42" i="4"/>
  <c r="G42" i="4"/>
  <c r="E43" i="4"/>
  <c r="H34" i="45"/>
  <c r="I34" i="45" s="1"/>
  <c r="H33" i="40"/>
  <c r="D34" i="41"/>
  <c r="E34" i="41"/>
  <c r="G46" i="10"/>
  <c r="H46" i="10"/>
  <c r="D47" i="10"/>
  <c r="E47" i="10" s="1"/>
  <c r="D35" i="38"/>
  <c r="E35" i="38" s="1"/>
  <c r="D43" i="3"/>
  <c r="E43" i="3" s="1"/>
  <c r="H42" i="3"/>
  <c r="G42" i="3"/>
  <c r="G35" i="37"/>
  <c r="I35" i="37" s="1"/>
  <c r="D42" i="25"/>
  <c r="E42" i="25" s="1"/>
  <c r="H41" i="25"/>
  <c r="G41" i="25"/>
  <c r="G43" i="8"/>
  <c r="H43" i="8"/>
  <c r="D44" i="8"/>
  <c r="E44" i="8"/>
  <c r="G44" i="11"/>
  <c r="H44" i="11"/>
  <c r="D45" i="11"/>
  <c r="E45" i="11"/>
  <c r="D33" i="43"/>
  <c r="E33" i="43"/>
  <c r="D35" i="39"/>
  <c r="E35" i="39"/>
  <c r="G39" i="24"/>
  <c r="D40" i="24"/>
  <c r="H39" i="24"/>
  <c r="E40" i="24"/>
  <c r="G33" i="40"/>
  <c r="H32" i="43"/>
  <c r="I32" i="43" s="1"/>
  <c r="H43" i="6"/>
  <c r="G43" i="6"/>
  <c r="D44" i="6"/>
  <c r="E44" i="6" s="1"/>
  <c r="D37" i="30"/>
  <c r="E37" i="30" s="1"/>
  <c r="G36" i="30"/>
  <c r="H36" i="30"/>
  <c r="D38" i="31"/>
  <c r="E38" i="31" s="1"/>
  <c r="G37" i="31"/>
  <c r="H37" i="31"/>
  <c r="D34" i="42"/>
  <c r="E34" i="42" s="1"/>
  <c r="B34" i="46"/>
  <c r="F34" i="46"/>
  <c r="G34" i="46" s="1"/>
  <c r="J115" i="13"/>
  <c r="G116" i="13"/>
  <c r="D117" i="13"/>
  <c r="E117" i="13" s="1"/>
  <c r="J119" i="48" l="1"/>
  <c r="E120" i="49"/>
  <c r="F120" i="49" s="1"/>
  <c r="D121" i="48"/>
  <c r="B121" i="48" s="1"/>
  <c r="G120" i="48"/>
  <c r="I119" i="49"/>
  <c r="H119" i="49"/>
  <c r="D35" i="49"/>
  <c r="E35" i="49"/>
  <c r="G34" i="49"/>
  <c r="H34" i="49"/>
  <c r="F33" i="47"/>
  <c r="G33" i="47" s="1"/>
  <c r="B33" i="47"/>
  <c r="B33" i="48"/>
  <c r="F33" i="48"/>
  <c r="G33" i="48"/>
  <c r="I34" i="44"/>
  <c r="G34" i="13"/>
  <c r="I34" i="13" s="1"/>
  <c r="D35" i="13"/>
  <c r="I41" i="22"/>
  <c r="E35" i="44"/>
  <c r="F35" i="44" s="1"/>
  <c r="H35" i="44" s="1"/>
  <c r="B35" i="44"/>
  <c r="I41" i="25"/>
  <c r="I45" i="7"/>
  <c r="I38" i="27"/>
  <c r="I40" i="23"/>
  <c r="B39" i="27"/>
  <c r="I44" i="11"/>
  <c r="I43" i="8"/>
  <c r="E39" i="27"/>
  <c r="F39" i="27" s="1"/>
  <c r="F44" i="6"/>
  <c r="B44" i="6"/>
  <c r="B35" i="38"/>
  <c r="F35" i="38"/>
  <c r="H35" i="38" s="1"/>
  <c r="B46" i="7"/>
  <c r="F46" i="7"/>
  <c r="B34" i="40"/>
  <c r="F34" i="40"/>
  <c r="F34" i="42"/>
  <c r="G34" i="42" s="1"/>
  <c r="B34" i="42"/>
  <c r="F38" i="31"/>
  <c r="B38" i="31"/>
  <c r="F37" i="30"/>
  <c r="B37" i="30"/>
  <c r="B33" i="43"/>
  <c r="F33" i="43"/>
  <c r="H33" i="43" s="1"/>
  <c r="F42" i="25"/>
  <c r="B42" i="25"/>
  <c r="I42" i="3"/>
  <c r="F47" i="10"/>
  <c r="B47" i="10"/>
  <c r="B38" i="29"/>
  <c r="F38" i="29"/>
  <c r="F36" i="37"/>
  <c r="H36" i="37" s="1"/>
  <c r="B36" i="37"/>
  <c r="B43" i="5"/>
  <c r="F43" i="5"/>
  <c r="D35" i="46"/>
  <c r="E35" i="46" s="1"/>
  <c r="B43" i="4"/>
  <c r="F43" i="4"/>
  <c r="H34" i="46"/>
  <c r="I34" i="46" s="1"/>
  <c r="I43" i="6"/>
  <c r="F43" i="3"/>
  <c r="B43" i="3"/>
  <c r="I46" i="10"/>
  <c r="B34" i="41"/>
  <c r="F34" i="41"/>
  <c r="B35" i="45"/>
  <c r="F35" i="45"/>
  <c r="G35" i="45" s="1"/>
  <c r="I37" i="29"/>
  <c r="I37" i="28"/>
  <c r="I42" i="5"/>
  <c r="F40" i="24"/>
  <c r="B40" i="24"/>
  <c r="F42" i="22"/>
  <c r="B42" i="22"/>
  <c r="B41" i="23"/>
  <c r="F41" i="23"/>
  <c r="I37" i="31"/>
  <c r="I36" i="30"/>
  <c r="I39" i="24"/>
  <c r="F35" i="39"/>
  <c r="B35" i="39"/>
  <c r="B45" i="11"/>
  <c r="F45" i="11"/>
  <c r="F44" i="8"/>
  <c r="B44" i="8"/>
  <c r="I33" i="40"/>
  <c r="I42" i="4"/>
  <c r="H45" i="9"/>
  <c r="D46" i="9"/>
  <c r="E46" i="9" s="1"/>
  <c r="G45" i="9"/>
  <c r="B38" i="28"/>
  <c r="F38" i="28"/>
  <c r="I116" i="13"/>
  <c r="H116" i="13"/>
  <c r="B117" i="13"/>
  <c r="F117" i="13"/>
  <c r="E121" i="48" l="1"/>
  <c r="F121" i="48" s="1"/>
  <c r="D122" i="48" s="1"/>
  <c r="I120" i="48"/>
  <c r="H120" i="48"/>
  <c r="J119" i="49"/>
  <c r="G120" i="49"/>
  <c r="D121" i="49"/>
  <c r="D34" i="48"/>
  <c r="E34" i="48"/>
  <c r="D34" i="47"/>
  <c r="E34" i="47"/>
  <c r="B35" i="49"/>
  <c r="F35" i="49"/>
  <c r="H35" i="49"/>
  <c r="H33" i="48"/>
  <c r="I33" i="48" s="1"/>
  <c r="H33" i="47"/>
  <c r="I33" i="47" s="1"/>
  <c r="I34" i="49"/>
  <c r="E35" i="13"/>
  <c r="F35" i="13" s="1"/>
  <c r="H35" i="13" s="1"/>
  <c r="B35" i="13"/>
  <c r="G35" i="44"/>
  <c r="I35" i="44" s="1"/>
  <c r="D36" i="44"/>
  <c r="G36" i="37"/>
  <c r="I36" i="37" s="1"/>
  <c r="H34" i="42"/>
  <c r="I34" i="42" s="1"/>
  <c r="D40" i="27"/>
  <c r="H39" i="27"/>
  <c r="G39" i="27"/>
  <c r="D46" i="11"/>
  <c r="G45" i="11"/>
  <c r="H45" i="11"/>
  <c r="E46" i="11"/>
  <c r="D35" i="41"/>
  <c r="E35" i="41"/>
  <c r="D35" i="40"/>
  <c r="E35" i="40"/>
  <c r="G46" i="7"/>
  <c r="H46" i="7"/>
  <c r="D47" i="7"/>
  <c r="E47" i="7"/>
  <c r="D36" i="39"/>
  <c r="E36" i="39"/>
  <c r="H41" i="23"/>
  <c r="G41" i="23"/>
  <c r="D42" i="23"/>
  <c r="E42" i="23"/>
  <c r="D39" i="29"/>
  <c r="E39" i="29" s="1"/>
  <c r="G38" i="29"/>
  <c r="H38" i="29"/>
  <c r="D34" i="43"/>
  <c r="E34" i="43"/>
  <c r="G37" i="30"/>
  <c r="D38" i="30"/>
  <c r="H37" i="30"/>
  <c r="E38" i="30"/>
  <c r="D43" i="22"/>
  <c r="H42" i="22"/>
  <c r="G42" i="22"/>
  <c r="E43" i="22"/>
  <c r="H43" i="3"/>
  <c r="G43" i="3"/>
  <c r="D44" i="3"/>
  <c r="E44" i="3"/>
  <c r="G38" i="28"/>
  <c r="D39" i="28"/>
  <c r="H38" i="28"/>
  <c r="E39" i="28"/>
  <c r="B46" i="9"/>
  <c r="F46" i="9"/>
  <c r="G35" i="39"/>
  <c r="H40" i="24"/>
  <c r="G40" i="24"/>
  <c r="D41" i="24"/>
  <c r="E41" i="24"/>
  <c r="D36" i="45"/>
  <c r="E36" i="45" s="1"/>
  <c r="H34" i="41"/>
  <c r="B35" i="46"/>
  <c r="F35" i="46"/>
  <c r="G35" i="46" s="1"/>
  <c r="G33" i="43"/>
  <c r="I33" i="43" s="1"/>
  <c r="G34" i="40"/>
  <c r="D36" i="38"/>
  <c r="E36" i="38" s="1"/>
  <c r="G47" i="10"/>
  <c r="H47" i="10"/>
  <c r="E48" i="10"/>
  <c r="D48" i="10"/>
  <c r="I45" i="9"/>
  <c r="H44" i="8"/>
  <c r="G44" i="8"/>
  <c r="D45" i="8"/>
  <c r="E45" i="8"/>
  <c r="H35" i="39"/>
  <c r="H35" i="45"/>
  <c r="I35" i="45" s="1"/>
  <c r="G34" i="41"/>
  <c r="H43" i="4"/>
  <c r="G43" i="4"/>
  <c r="D44" i="4"/>
  <c r="E44" i="4"/>
  <c r="G43" i="5"/>
  <c r="D44" i="5"/>
  <c r="H43" i="5"/>
  <c r="E44" i="5"/>
  <c r="D37" i="37"/>
  <c r="E37" i="37" s="1"/>
  <c r="G42" i="25"/>
  <c r="D43" i="25"/>
  <c r="E43" i="25" s="1"/>
  <c r="H42" i="25"/>
  <c r="H38" i="31"/>
  <c r="D39" i="31"/>
  <c r="E39" i="31" s="1"/>
  <c r="G38" i="31"/>
  <c r="D35" i="42"/>
  <c r="E35" i="42"/>
  <c r="H34" i="40"/>
  <c r="G35" i="38"/>
  <c r="I35" i="38" s="1"/>
  <c r="G44" i="6"/>
  <c r="D45" i="6"/>
  <c r="E45" i="6" s="1"/>
  <c r="H44" i="6"/>
  <c r="G117" i="13"/>
  <c r="D118" i="13"/>
  <c r="E118" i="13" s="1"/>
  <c r="J116" i="13"/>
  <c r="G121" i="48" l="1"/>
  <c r="E121" i="49"/>
  <c r="F121" i="49"/>
  <c r="B121" i="49"/>
  <c r="H120" i="49"/>
  <c r="I120" i="49"/>
  <c r="J120" i="48"/>
  <c r="H121" i="48"/>
  <c r="I121" i="48"/>
  <c r="E122" i="48"/>
  <c r="F122" i="48"/>
  <c r="B122" i="48"/>
  <c r="F34" i="47"/>
  <c r="H34" i="47" s="1"/>
  <c r="B34" i="47"/>
  <c r="G35" i="49"/>
  <c r="I35" i="49" s="1"/>
  <c r="D36" i="49"/>
  <c r="F34" i="48"/>
  <c r="H34" i="48" s="1"/>
  <c r="B34" i="48"/>
  <c r="D36" i="13"/>
  <c r="G35" i="13"/>
  <c r="I35" i="13" s="1"/>
  <c r="I37" i="30"/>
  <c r="I38" i="28"/>
  <c r="I42" i="25"/>
  <c r="I43" i="4"/>
  <c r="E36" i="44"/>
  <c r="F36" i="44" s="1"/>
  <c r="G36" i="44" s="1"/>
  <c r="B36" i="44"/>
  <c r="I46" i="7"/>
  <c r="I34" i="40"/>
  <c r="I45" i="11"/>
  <c r="I44" i="6"/>
  <c r="I47" i="10"/>
  <c r="I39" i="27"/>
  <c r="I34" i="41"/>
  <c r="B40" i="27"/>
  <c r="I41" i="23"/>
  <c r="I35" i="39"/>
  <c r="I44" i="8"/>
  <c r="I43" i="3"/>
  <c r="E40" i="27"/>
  <c r="F40" i="27" s="1"/>
  <c r="F41" i="24"/>
  <c r="B41" i="24"/>
  <c r="G46" i="9"/>
  <c r="D47" i="9"/>
  <c r="E47" i="9"/>
  <c r="H46" i="9"/>
  <c r="B34" i="43"/>
  <c r="F34" i="43"/>
  <c r="H34" i="43" s="1"/>
  <c r="F47" i="7"/>
  <c r="B47" i="7"/>
  <c r="F45" i="6"/>
  <c r="B45" i="6"/>
  <c r="B39" i="31"/>
  <c r="F39" i="31"/>
  <c r="B43" i="25"/>
  <c r="F43" i="25"/>
  <c r="B45" i="8"/>
  <c r="F45" i="8"/>
  <c r="I42" i="22"/>
  <c r="F38" i="30"/>
  <c r="B38" i="30"/>
  <c r="B36" i="38"/>
  <c r="F36" i="38"/>
  <c r="G36" i="38" s="1"/>
  <c r="D36" i="46"/>
  <c r="B39" i="28"/>
  <c r="F39" i="28"/>
  <c r="F35" i="40"/>
  <c r="H35" i="40" s="1"/>
  <c r="B35" i="40"/>
  <c r="F35" i="42"/>
  <c r="H35" i="42" s="1"/>
  <c r="B35" i="42"/>
  <c r="I38" i="31"/>
  <c r="I43" i="5"/>
  <c r="B44" i="4"/>
  <c r="F44" i="4"/>
  <c r="H35" i="46"/>
  <c r="I35" i="46" s="1"/>
  <c r="F36" i="45"/>
  <c r="H36" i="45" s="1"/>
  <c r="B36" i="45"/>
  <c r="I40" i="24"/>
  <c r="B43" i="22"/>
  <c r="F43" i="22"/>
  <c r="I38" i="29"/>
  <c r="B42" i="23"/>
  <c r="F42" i="23"/>
  <c r="F36" i="39"/>
  <c r="G36" i="39" s="1"/>
  <c r="B36" i="39"/>
  <c r="B37" i="37"/>
  <c r="F37" i="37"/>
  <c r="H37" i="37" s="1"/>
  <c r="F44" i="3"/>
  <c r="B44" i="3"/>
  <c r="F39" i="29"/>
  <c r="B39" i="29"/>
  <c r="F44" i="5"/>
  <c r="B44" i="5"/>
  <c r="F48" i="10"/>
  <c r="B48" i="10"/>
  <c r="B35" i="41"/>
  <c r="F35" i="41"/>
  <c r="G35" i="41" s="1"/>
  <c r="B46" i="11"/>
  <c r="F46" i="11"/>
  <c r="F118" i="13"/>
  <c r="B118" i="13"/>
  <c r="H117" i="13"/>
  <c r="I117" i="13"/>
  <c r="J121" i="48" l="1"/>
  <c r="G34" i="48"/>
  <c r="I34" i="48" s="1"/>
  <c r="G34" i="47"/>
  <c r="I34" i="47" s="1"/>
  <c r="D123" i="48"/>
  <c r="B123" i="48" s="1"/>
  <c r="G122" i="48"/>
  <c r="D122" i="49"/>
  <c r="G121" i="49"/>
  <c r="J120" i="49"/>
  <c r="E36" i="49"/>
  <c r="B36" i="49"/>
  <c r="F36" i="49"/>
  <c r="H36" i="49" s="1"/>
  <c r="E35" i="48"/>
  <c r="D35" i="48"/>
  <c r="E35" i="47"/>
  <c r="D35" i="47"/>
  <c r="E36" i="13"/>
  <c r="F36" i="13" s="1"/>
  <c r="B36" i="13"/>
  <c r="D37" i="44"/>
  <c r="H36" i="44"/>
  <c r="I36" i="44" s="1"/>
  <c r="H35" i="41"/>
  <c r="I35" i="41" s="1"/>
  <c r="H36" i="39"/>
  <c r="I36" i="39" s="1"/>
  <c r="G34" i="43"/>
  <c r="I34" i="43" s="1"/>
  <c r="E41" i="27"/>
  <c r="G40" i="27"/>
  <c r="H40" i="27"/>
  <c r="D41" i="27"/>
  <c r="G37" i="37"/>
  <c r="I37" i="37" s="1"/>
  <c r="G36" i="45"/>
  <c r="I36" i="45" s="1"/>
  <c r="B36" i="46"/>
  <c r="G45" i="6"/>
  <c r="H45" i="6"/>
  <c r="D46" i="6"/>
  <c r="E46" i="6"/>
  <c r="B47" i="9"/>
  <c r="F47" i="9"/>
  <c r="D45" i="5"/>
  <c r="E45" i="5" s="1"/>
  <c r="G44" i="5"/>
  <c r="H44" i="5"/>
  <c r="G44" i="3"/>
  <c r="D45" i="3"/>
  <c r="E45" i="3" s="1"/>
  <c r="H44" i="3"/>
  <c r="D37" i="39"/>
  <c r="E37" i="39"/>
  <c r="H43" i="22"/>
  <c r="G43" i="22"/>
  <c r="D44" i="22"/>
  <c r="E44" i="22"/>
  <c r="G44" i="4"/>
  <c r="H44" i="4"/>
  <c r="D45" i="4"/>
  <c r="E45" i="4"/>
  <c r="G39" i="28"/>
  <c r="H39" i="28"/>
  <c r="D40" i="28"/>
  <c r="E40" i="28"/>
  <c r="D37" i="38"/>
  <c r="E37" i="38" s="1"/>
  <c r="D46" i="8"/>
  <c r="E46" i="8" s="1"/>
  <c r="G45" i="8"/>
  <c r="H45" i="8"/>
  <c r="H39" i="31"/>
  <c r="D40" i="31"/>
  <c r="G39" i="31"/>
  <c r="E40" i="31"/>
  <c r="G47" i="7"/>
  <c r="D48" i="7"/>
  <c r="H47" i="7"/>
  <c r="E48" i="7"/>
  <c r="D36" i="40"/>
  <c r="E36" i="40" s="1"/>
  <c r="D38" i="37"/>
  <c r="E38" i="37" s="1"/>
  <c r="D43" i="23"/>
  <c r="E43" i="23" s="1"/>
  <c r="H42" i="23"/>
  <c r="G42" i="23"/>
  <c r="G35" i="40"/>
  <c r="I35" i="40" s="1"/>
  <c r="I46" i="9"/>
  <c r="G46" i="11"/>
  <c r="H46" i="11"/>
  <c r="D47" i="11"/>
  <c r="E47" i="11"/>
  <c r="D36" i="42"/>
  <c r="E36" i="42" s="1"/>
  <c r="D36" i="41"/>
  <c r="E36" i="41"/>
  <c r="H48" i="10"/>
  <c r="D49" i="10"/>
  <c r="G48" i="10"/>
  <c r="E49" i="10"/>
  <c r="G39" i="29"/>
  <c r="D40" i="29"/>
  <c r="H39" i="29"/>
  <c r="E40" i="29"/>
  <c r="D37" i="45"/>
  <c r="G35" i="42"/>
  <c r="I35" i="42" s="1"/>
  <c r="E36" i="46"/>
  <c r="F36" i="46" s="1"/>
  <c r="H36" i="38"/>
  <c r="I36" i="38" s="1"/>
  <c r="G38" i="30"/>
  <c r="H38" i="30"/>
  <c r="D39" i="30"/>
  <c r="E39" i="30" s="1"/>
  <c r="D44" i="25"/>
  <c r="E44" i="25" s="1"/>
  <c r="G43" i="25"/>
  <c r="H43" i="25"/>
  <c r="D35" i="43"/>
  <c r="E35" i="43"/>
  <c r="G41" i="24"/>
  <c r="H41" i="24"/>
  <c r="D42" i="24"/>
  <c r="E42" i="24"/>
  <c r="J117" i="13"/>
  <c r="G118" i="13"/>
  <c r="D119" i="13"/>
  <c r="E123" i="48" l="1"/>
  <c r="F123" i="48" s="1"/>
  <c r="G123" i="48" s="1"/>
  <c r="H121" i="49"/>
  <c r="I121" i="49"/>
  <c r="J121" i="49" s="1"/>
  <c r="H122" i="48"/>
  <c r="I122" i="48"/>
  <c r="D124" i="48"/>
  <c r="E122" i="49"/>
  <c r="F122" i="49" s="1"/>
  <c r="B122" i="49"/>
  <c r="F35" i="48"/>
  <c r="B35" i="48"/>
  <c r="H35" i="48"/>
  <c r="F35" i="47"/>
  <c r="H35" i="47" s="1"/>
  <c r="B35" i="47"/>
  <c r="D37" i="49"/>
  <c r="E37" i="49"/>
  <c r="G36" i="49"/>
  <c r="I36" i="49" s="1"/>
  <c r="G36" i="13"/>
  <c r="D37" i="13"/>
  <c r="H36" i="13"/>
  <c r="I36" i="13" s="1"/>
  <c r="I43" i="22"/>
  <c r="E37" i="44"/>
  <c r="F37" i="44" s="1"/>
  <c r="B37" i="44"/>
  <c r="I39" i="31"/>
  <c r="I44" i="3"/>
  <c r="I45" i="8"/>
  <c r="I44" i="5"/>
  <c r="I40" i="27"/>
  <c r="I43" i="25"/>
  <c r="I42" i="23"/>
  <c r="I48" i="10"/>
  <c r="I46" i="11"/>
  <c r="F41" i="27"/>
  <c r="B41" i="27"/>
  <c r="D37" i="46"/>
  <c r="H36" i="46"/>
  <c r="G36" i="46"/>
  <c r="B37" i="38"/>
  <c r="F37" i="38"/>
  <c r="H37" i="38" s="1"/>
  <c r="I38" i="30"/>
  <c r="F36" i="42"/>
  <c r="G36" i="42" s="1"/>
  <c r="B36" i="42"/>
  <c r="F43" i="23"/>
  <c r="B43" i="23"/>
  <c r="F45" i="3"/>
  <c r="B45" i="3"/>
  <c r="F36" i="40"/>
  <c r="G36" i="40" s="1"/>
  <c r="B36" i="40"/>
  <c r="F46" i="8"/>
  <c r="B46" i="8"/>
  <c r="B42" i="24"/>
  <c r="F42" i="24"/>
  <c r="F35" i="43"/>
  <c r="H35" i="43" s="1"/>
  <c r="B35" i="43"/>
  <c r="F44" i="25"/>
  <c r="B44" i="25"/>
  <c r="B37" i="45"/>
  <c r="I39" i="29"/>
  <c r="F36" i="41"/>
  <c r="G36" i="41" s="1"/>
  <c r="B36" i="41"/>
  <c r="I47" i="7"/>
  <c r="F40" i="28"/>
  <c r="B40" i="28"/>
  <c r="F45" i="4"/>
  <c r="B45" i="4"/>
  <c r="F44" i="22"/>
  <c r="B44" i="22"/>
  <c r="F37" i="39"/>
  <c r="H37" i="39" s="1"/>
  <c r="B37" i="39"/>
  <c r="F45" i="5"/>
  <c r="B45" i="5"/>
  <c r="B46" i="6"/>
  <c r="F46" i="6"/>
  <c r="F39" i="30"/>
  <c r="B39" i="30"/>
  <c r="I41" i="24"/>
  <c r="E37" i="45"/>
  <c r="F37" i="45" s="1"/>
  <c r="B40" i="29"/>
  <c r="F40" i="29"/>
  <c r="F49" i="10"/>
  <c r="B49" i="10"/>
  <c r="F47" i="11"/>
  <c r="B47" i="11"/>
  <c r="B38" i="37"/>
  <c r="F38" i="37"/>
  <c r="F48" i="7"/>
  <c r="B48" i="7"/>
  <c r="B40" i="31"/>
  <c r="F40" i="31"/>
  <c r="I39" i="28"/>
  <c r="I44" i="4"/>
  <c r="E48" i="9"/>
  <c r="G47" i="9"/>
  <c r="D48" i="9"/>
  <c r="H47" i="9"/>
  <c r="I45" i="6"/>
  <c r="B119" i="13"/>
  <c r="E119" i="13"/>
  <c r="F119" i="13" s="1"/>
  <c r="H118" i="13"/>
  <c r="I118" i="13"/>
  <c r="D123" i="49" l="1"/>
  <c r="G122" i="49"/>
  <c r="E124" i="48"/>
  <c r="F124" i="48" s="1"/>
  <c r="B124" i="48"/>
  <c r="I123" i="48"/>
  <c r="H123" i="48"/>
  <c r="J122" i="48"/>
  <c r="H37" i="49"/>
  <c r="B37" i="49"/>
  <c r="F37" i="49"/>
  <c r="G37" i="49" s="1"/>
  <c r="E36" i="47"/>
  <c r="D36" i="47"/>
  <c r="E36" i="48"/>
  <c r="D36" i="48"/>
  <c r="G35" i="47"/>
  <c r="I35" i="47" s="1"/>
  <c r="G35" i="48"/>
  <c r="I35" i="48" s="1"/>
  <c r="E37" i="13"/>
  <c r="F37" i="13" s="1"/>
  <c r="B37" i="13"/>
  <c r="H37" i="44"/>
  <c r="G37" i="44"/>
  <c r="D38" i="44"/>
  <c r="G37" i="38"/>
  <c r="I37" i="38" s="1"/>
  <c r="G41" i="27"/>
  <c r="E42" i="27"/>
  <c r="H41" i="27"/>
  <c r="D42" i="27"/>
  <c r="G37" i="39"/>
  <c r="I37" i="39" s="1"/>
  <c r="G35" i="43"/>
  <c r="I35" i="43" s="1"/>
  <c r="D38" i="45"/>
  <c r="E38" i="45" s="1"/>
  <c r="H37" i="45"/>
  <c r="G37" i="45"/>
  <c r="D39" i="37"/>
  <c r="E39" i="37"/>
  <c r="G40" i="29"/>
  <c r="H40" i="29"/>
  <c r="D41" i="29"/>
  <c r="E41" i="29"/>
  <c r="G43" i="23"/>
  <c r="D44" i="23"/>
  <c r="E44" i="23" s="1"/>
  <c r="H43" i="23"/>
  <c r="J118" i="13"/>
  <c r="I47" i="9"/>
  <c r="G38" i="37"/>
  <c r="D48" i="11"/>
  <c r="E48" i="11" s="1"/>
  <c r="G47" i="11"/>
  <c r="H47" i="11"/>
  <c r="H39" i="30"/>
  <c r="D40" i="30"/>
  <c r="E40" i="30" s="1"/>
  <c r="G39" i="30"/>
  <c r="H45" i="5"/>
  <c r="D46" i="5"/>
  <c r="E46" i="5" s="1"/>
  <c r="G45" i="5"/>
  <c r="D38" i="39"/>
  <c r="E38" i="39"/>
  <c r="D46" i="4"/>
  <c r="E46" i="4" s="1"/>
  <c r="G45" i="4"/>
  <c r="H45" i="4"/>
  <c r="G42" i="24"/>
  <c r="D43" i="24"/>
  <c r="H42" i="24"/>
  <c r="E43" i="24"/>
  <c r="I36" i="46"/>
  <c r="D37" i="41"/>
  <c r="E37" i="41"/>
  <c r="G44" i="25"/>
  <c r="H44" i="25"/>
  <c r="D45" i="25"/>
  <c r="E45" i="25"/>
  <c r="D47" i="8"/>
  <c r="H46" i="8"/>
  <c r="G46" i="8"/>
  <c r="E47" i="8"/>
  <c r="D37" i="40"/>
  <c r="E37" i="40"/>
  <c r="D37" i="42"/>
  <c r="E37" i="42"/>
  <c r="F48" i="9"/>
  <c r="B48" i="9"/>
  <c r="D49" i="7"/>
  <c r="E49" i="7" s="1"/>
  <c r="H48" i="7"/>
  <c r="G48" i="7"/>
  <c r="H46" i="6"/>
  <c r="D47" i="6"/>
  <c r="E47" i="6" s="1"/>
  <c r="G46" i="6"/>
  <c r="H36" i="40"/>
  <c r="I36" i="40" s="1"/>
  <c r="H45" i="3"/>
  <c r="D46" i="3"/>
  <c r="G45" i="3"/>
  <c r="E46" i="3"/>
  <c r="D38" i="38"/>
  <c r="E38" i="38"/>
  <c r="B37" i="46"/>
  <c r="D41" i="31"/>
  <c r="E41" i="31" s="1"/>
  <c r="G40" i="31"/>
  <c r="H40" i="31"/>
  <c r="H38" i="37"/>
  <c r="D50" i="10"/>
  <c r="G49" i="10"/>
  <c r="H49" i="10"/>
  <c r="E50" i="10"/>
  <c r="D45" i="22"/>
  <c r="G44" i="22"/>
  <c r="H44" i="22"/>
  <c r="E45" i="22"/>
  <c r="H40" i="28"/>
  <c r="D41" i="28"/>
  <c r="G40" i="28"/>
  <c r="E41" i="28"/>
  <c r="H36" i="41"/>
  <c r="I36" i="41" s="1"/>
  <c r="D36" i="43"/>
  <c r="E36" i="43"/>
  <c r="H36" i="42"/>
  <c r="I36" i="42" s="1"/>
  <c r="E37" i="46"/>
  <c r="F37" i="46" s="1"/>
  <c r="D120" i="13"/>
  <c r="G119" i="13"/>
  <c r="D125" i="48" l="1"/>
  <c r="G124" i="48"/>
  <c r="J123" i="48"/>
  <c r="I122" i="49"/>
  <c r="J122" i="49" s="1"/>
  <c r="H122" i="49"/>
  <c r="E123" i="49"/>
  <c r="F123" i="49" s="1"/>
  <c r="B123" i="49"/>
  <c r="I37" i="49"/>
  <c r="B36" i="47"/>
  <c r="F36" i="47"/>
  <c r="H36" i="47" s="1"/>
  <c r="F36" i="48"/>
  <c r="G36" i="48" s="1"/>
  <c r="B36" i="48"/>
  <c r="D38" i="49"/>
  <c r="E38" i="49"/>
  <c r="D38" i="13"/>
  <c r="H37" i="13"/>
  <c r="G37" i="13"/>
  <c r="I37" i="44"/>
  <c r="I38" i="37"/>
  <c r="E38" i="44"/>
  <c r="F38" i="44" s="1"/>
  <c r="B38" i="44"/>
  <c r="I44" i="25"/>
  <c r="I42" i="24"/>
  <c r="I45" i="4"/>
  <c r="I40" i="29"/>
  <c r="I44" i="22"/>
  <c r="I49" i="10"/>
  <c r="I40" i="31"/>
  <c r="I46" i="8"/>
  <c r="I45" i="5"/>
  <c r="I39" i="30"/>
  <c r="F42" i="27"/>
  <c r="B42" i="27"/>
  <c r="I43" i="23"/>
  <c r="I41" i="27"/>
  <c r="D38" i="46"/>
  <c r="E38" i="46" s="1"/>
  <c r="H37" i="46"/>
  <c r="G37" i="46"/>
  <c r="B46" i="3"/>
  <c r="F46" i="3"/>
  <c r="B40" i="30"/>
  <c r="F40" i="30"/>
  <c r="B41" i="28"/>
  <c r="F41" i="28"/>
  <c r="F38" i="38"/>
  <c r="H38" i="38" s="1"/>
  <c r="B38" i="38"/>
  <c r="I45" i="3"/>
  <c r="G48" i="9"/>
  <c r="D49" i="9"/>
  <c r="E49" i="9"/>
  <c r="H48" i="9"/>
  <c r="B37" i="40"/>
  <c r="F37" i="40"/>
  <c r="H37" i="40" s="1"/>
  <c r="B47" i="8"/>
  <c r="F47" i="8"/>
  <c r="B43" i="24"/>
  <c r="F43" i="24"/>
  <c r="B38" i="39"/>
  <c r="F38" i="39"/>
  <c r="H38" i="39" s="1"/>
  <c r="B48" i="11"/>
  <c r="F48" i="11"/>
  <c r="I37" i="45"/>
  <c r="B46" i="5"/>
  <c r="F46" i="5"/>
  <c r="F44" i="23"/>
  <c r="B44" i="23"/>
  <c r="B36" i="43"/>
  <c r="F36" i="43"/>
  <c r="G36" i="43" s="1"/>
  <c r="I40" i="28"/>
  <c r="B45" i="22"/>
  <c r="F45" i="22"/>
  <c r="B50" i="10"/>
  <c r="F50" i="10"/>
  <c r="B47" i="6"/>
  <c r="F47" i="6"/>
  <c r="I48" i="7"/>
  <c r="F41" i="31"/>
  <c r="B41" i="31"/>
  <c r="I46" i="6"/>
  <c r="B49" i="7"/>
  <c r="F49" i="7"/>
  <c r="B37" i="42"/>
  <c r="F37" i="42"/>
  <c r="H37" i="42" s="1"/>
  <c r="F45" i="25"/>
  <c r="B45" i="25"/>
  <c r="B37" i="41"/>
  <c r="F37" i="41"/>
  <c r="H37" i="41" s="1"/>
  <c r="F46" i="4"/>
  <c r="B46" i="4"/>
  <c r="I47" i="11"/>
  <c r="B41" i="29"/>
  <c r="F41" i="29"/>
  <c r="B39" i="37"/>
  <c r="F39" i="37"/>
  <c r="H39" i="37" s="1"/>
  <c r="F38" i="45"/>
  <c r="G38" i="45" s="1"/>
  <c r="B38" i="45"/>
  <c r="H119" i="13"/>
  <c r="I119" i="13"/>
  <c r="B120" i="13"/>
  <c r="E120" i="13"/>
  <c r="F120" i="13" s="1"/>
  <c r="D124" i="49" l="1"/>
  <c r="B124" i="49" s="1"/>
  <c r="G123" i="49"/>
  <c r="E124" i="49"/>
  <c r="F124" i="49" s="1"/>
  <c r="H124" i="48"/>
  <c r="I124" i="48"/>
  <c r="E125" i="48"/>
  <c r="F125" i="48"/>
  <c r="B125" i="48"/>
  <c r="H36" i="48"/>
  <c r="I36" i="48" s="1"/>
  <c r="D37" i="48"/>
  <c r="E37" i="48"/>
  <c r="E37" i="47"/>
  <c r="D37" i="47"/>
  <c r="F38" i="49"/>
  <c r="B38" i="49"/>
  <c r="G36" i="47"/>
  <c r="I36" i="47" s="1"/>
  <c r="I37" i="13"/>
  <c r="E38" i="13"/>
  <c r="F38" i="13" s="1"/>
  <c r="B38" i="13"/>
  <c r="G38" i="44"/>
  <c r="H38" i="44"/>
  <c r="D39" i="44"/>
  <c r="H38" i="45"/>
  <c r="I38" i="45" s="1"/>
  <c r="G37" i="40"/>
  <c r="I37" i="40" s="1"/>
  <c r="G38" i="38"/>
  <c r="I38" i="38" s="1"/>
  <c r="G37" i="41"/>
  <c r="I37" i="41" s="1"/>
  <c r="G37" i="42"/>
  <c r="I37" i="42" s="1"/>
  <c r="G42" i="27"/>
  <c r="H42" i="27"/>
  <c r="D43" i="27"/>
  <c r="D46" i="22"/>
  <c r="G45" i="22"/>
  <c r="H45" i="22"/>
  <c r="E46" i="22"/>
  <c r="G45" i="25"/>
  <c r="H45" i="25"/>
  <c r="D46" i="25"/>
  <c r="E46" i="25"/>
  <c r="D37" i="43"/>
  <c r="E37" i="43"/>
  <c r="G38" i="39"/>
  <c r="I38" i="39" s="1"/>
  <c r="H43" i="24"/>
  <c r="D44" i="24"/>
  <c r="G43" i="24"/>
  <c r="E44" i="24"/>
  <c r="I48" i="9"/>
  <c r="I37" i="46"/>
  <c r="D41" i="30"/>
  <c r="E41" i="30" s="1"/>
  <c r="H40" i="30"/>
  <c r="G40" i="30"/>
  <c r="D39" i="45"/>
  <c r="E39" i="45" s="1"/>
  <c r="D38" i="41"/>
  <c r="E38" i="41" s="1"/>
  <c r="H49" i="7"/>
  <c r="D50" i="7"/>
  <c r="E50" i="7" s="1"/>
  <c r="G49" i="7"/>
  <c r="G41" i="31"/>
  <c r="D42" i="31"/>
  <c r="E42" i="31" s="1"/>
  <c r="H41" i="31"/>
  <c r="D51" i="10"/>
  <c r="H50" i="10"/>
  <c r="E51" i="10"/>
  <c r="G50" i="10"/>
  <c r="D38" i="40"/>
  <c r="E38" i="40"/>
  <c r="D42" i="28"/>
  <c r="E42" i="28" s="1"/>
  <c r="G41" i="28"/>
  <c r="H41" i="28"/>
  <c r="G46" i="3"/>
  <c r="H46" i="3"/>
  <c r="D47" i="3"/>
  <c r="E47" i="3"/>
  <c r="E40" i="37"/>
  <c r="D40" i="37"/>
  <c r="D48" i="6"/>
  <c r="E48" i="6" s="1"/>
  <c r="G47" i="6"/>
  <c r="H47" i="6"/>
  <c r="G46" i="5"/>
  <c r="H46" i="5"/>
  <c r="D47" i="5"/>
  <c r="E47" i="5" s="1"/>
  <c r="G39" i="37"/>
  <c r="I39" i="37" s="1"/>
  <c r="G41" i="29"/>
  <c r="D42" i="29"/>
  <c r="E42" i="29" s="1"/>
  <c r="H41" i="29"/>
  <c r="H46" i="4"/>
  <c r="D47" i="4"/>
  <c r="E47" i="4" s="1"/>
  <c r="G46" i="4"/>
  <c r="D38" i="42"/>
  <c r="E38" i="42"/>
  <c r="H36" i="43"/>
  <c r="I36" i="43" s="1"/>
  <c r="H44" i="23"/>
  <c r="D45" i="23"/>
  <c r="E45" i="23" s="1"/>
  <c r="G44" i="23"/>
  <c r="G48" i="11"/>
  <c r="H48" i="11"/>
  <c r="D49" i="11"/>
  <c r="E49" i="11" s="1"/>
  <c r="D39" i="39"/>
  <c r="E39" i="39"/>
  <c r="H47" i="8"/>
  <c r="D48" i="8"/>
  <c r="G47" i="8"/>
  <c r="E48" i="8"/>
  <c r="F49" i="9"/>
  <c r="B49" i="9"/>
  <c r="D39" i="38"/>
  <c r="E39" i="38"/>
  <c r="F38" i="46"/>
  <c r="H38" i="46" s="1"/>
  <c r="B38" i="46"/>
  <c r="J119" i="13"/>
  <c r="G120" i="13"/>
  <c r="D121" i="13"/>
  <c r="J124" i="48" l="1"/>
  <c r="I123" i="49"/>
  <c r="H123" i="49"/>
  <c r="G125" i="48"/>
  <c r="D126" i="48"/>
  <c r="G124" i="49"/>
  <c r="D125" i="49"/>
  <c r="B125" i="49" s="1"/>
  <c r="D39" i="49"/>
  <c r="E39" i="49"/>
  <c r="B37" i="48"/>
  <c r="F37" i="48"/>
  <c r="G37" i="48" s="1"/>
  <c r="G38" i="49"/>
  <c r="F37" i="47"/>
  <c r="B37" i="47"/>
  <c r="H38" i="49"/>
  <c r="G38" i="13"/>
  <c r="H38" i="13"/>
  <c r="D39" i="13"/>
  <c r="I38" i="44"/>
  <c r="E39" i="44"/>
  <c r="F39" i="44" s="1"/>
  <c r="B39" i="44"/>
  <c r="I46" i="5"/>
  <c r="I41" i="31"/>
  <c r="I43" i="24"/>
  <c r="I45" i="25"/>
  <c r="I47" i="8"/>
  <c r="I48" i="11"/>
  <c r="I46" i="4"/>
  <c r="I47" i="6"/>
  <c r="I50" i="10"/>
  <c r="I41" i="28"/>
  <c r="B43" i="27"/>
  <c r="I42" i="27"/>
  <c r="E43" i="27"/>
  <c r="F43" i="27" s="1"/>
  <c r="B49" i="11"/>
  <c r="F49" i="11"/>
  <c r="F47" i="4"/>
  <c r="B47" i="4"/>
  <c r="B45" i="23"/>
  <c r="F45" i="23"/>
  <c r="B38" i="42"/>
  <c r="F38" i="42"/>
  <c r="G38" i="42" s="1"/>
  <c r="B42" i="31"/>
  <c r="F42" i="31"/>
  <c r="B50" i="7"/>
  <c r="F50" i="7"/>
  <c r="I40" i="30"/>
  <c r="F46" i="22"/>
  <c r="B46" i="22"/>
  <c r="D50" i="9"/>
  <c r="E50" i="9" s="1"/>
  <c r="H49" i="9"/>
  <c r="G49" i="9"/>
  <c r="B47" i="5"/>
  <c r="F47" i="5"/>
  <c r="B39" i="38"/>
  <c r="F39" i="38"/>
  <c r="G39" i="38" s="1"/>
  <c r="B39" i="39"/>
  <c r="F39" i="39"/>
  <c r="I44" i="23"/>
  <c r="B48" i="6"/>
  <c r="F48" i="6"/>
  <c r="B47" i="3"/>
  <c r="F47" i="3"/>
  <c r="B38" i="40"/>
  <c r="F38" i="40"/>
  <c r="G38" i="40" s="1"/>
  <c r="B51" i="10"/>
  <c r="F51" i="10"/>
  <c r="I49" i="7"/>
  <c r="F39" i="45"/>
  <c r="B39" i="45"/>
  <c r="B41" i="30"/>
  <c r="F41" i="30"/>
  <c r="D39" i="46"/>
  <c r="E39" i="46" s="1"/>
  <c r="F42" i="29"/>
  <c r="B42" i="29"/>
  <c r="F42" i="28"/>
  <c r="B42" i="28"/>
  <c r="F38" i="41"/>
  <c r="H38" i="41" s="1"/>
  <c r="B38" i="41"/>
  <c r="G38" i="46"/>
  <c r="I38" i="46" s="1"/>
  <c r="B48" i="8"/>
  <c r="F48" i="8"/>
  <c r="I41" i="29"/>
  <c r="F40" i="37"/>
  <c r="B40" i="37"/>
  <c r="I46" i="3"/>
  <c r="F44" i="24"/>
  <c r="B44" i="24"/>
  <c r="B37" i="43"/>
  <c r="F37" i="43"/>
  <c r="G37" i="43" s="1"/>
  <c r="F46" i="25"/>
  <c r="B46" i="25"/>
  <c r="I45" i="22"/>
  <c r="B121" i="13"/>
  <c r="I120" i="13"/>
  <c r="H120" i="13"/>
  <c r="E121" i="13"/>
  <c r="F121" i="13" s="1"/>
  <c r="E125" i="49" l="1"/>
  <c r="F125" i="49" s="1"/>
  <c r="I38" i="49"/>
  <c r="E126" i="48"/>
  <c r="F126" i="48"/>
  <c r="B126" i="48"/>
  <c r="H125" i="48"/>
  <c r="I125" i="48"/>
  <c r="D126" i="49"/>
  <c r="G125" i="49"/>
  <c r="H124" i="49"/>
  <c r="I124" i="49"/>
  <c r="J123" i="49"/>
  <c r="E38" i="47"/>
  <c r="D38" i="47"/>
  <c r="G37" i="47"/>
  <c r="H37" i="47"/>
  <c r="I37" i="47" s="1"/>
  <c r="E38" i="48"/>
  <c r="D38" i="48"/>
  <c r="H37" i="48"/>
  <c r="I37" i="48" s="1"/>
  <c r="F39" i="49"/>
  <c r="B39" i="49"/>
  <c r="I38" i="13"/>
  <c r="E39" i="13"/>
  <c r="F39" i="13" s="1"/>
  <c r="B39" i="13"/>
  <c r="H39" i="44"/>
  <c r="G39" i="44"/>
  <c r="D40" i="44"/>
  <c r="H38" i="40"/>
  <c r="I38" i="40" s="1"/>
  <c r="H43" i="27"/>
  <c r="D44" i="27"/>
  <c r="E44" i="27"/>
  <c r="G43" i="27"/>
  <c r="H46" i="25"/>
  <c r="G46" i="25"/>
  <c r="D47" i="25"/>
  <c r="E47" i="25"/>
  <c r="H42" i="29"/>
  <c r="G42" i="29"/>
  <c r="D43" i="29"/>
  <c r="E43" i="29"/>
  <c r="D40" i="45"/>
  <c r="F50" i="9"/>
  <c r="B50" i="9"/>
  <c r="H47" i="4"/>
  <c r="D48" i="4"/>
  <c r="G47" i="4"/>
  <c r="E48" i="4"/>
  <c r="H39" i="45"/>
  <c r="D39" i="40"/>
  <c r="E39" i="40"/>
  <c r="G47" i="3"/>
  <c r="H47" i="3"/>
  <c r="D48" i="3"/>
  <c r="E48" i="3"/>
  <c r="G50" i="7"/>
  <c r="H50" i="7"/>
  <c r="D51" i="7"/>
  <c r="E51" i="7" s="1"/>
  <c r="G45" i="23"/>
  <c r="D46" i="23"/>
  <c r="H45" i="23"/>
  <c r="E46" i="23"/>
  <c r="H49" i="11"/>
  <c r="D50" i="11"/>
  <c r="G49" i="11"/>
  <c r="E50" i="11"/>
  <c r="D41" i="37"/>
  <c r="E41" i="37" s="1"/>
  <c r="D39" i="41"/>
  <c r="E39" i="41"/>
  <c r="D42" i="30"/>
  <c r="H41" i="30"/>
  <c r="G41" i="30"/>
  <c r="E42" i="30"/>
  <c r="D40" i="39"/>
  <c r="E40" i="39"/>
  <c r="H47" i="5"/>
  <c r="D48" i="5"/>
  <c r="E48" i="5" s="1"/>
  <c r="G47" i="5"/>
  <c r="D38" i="43"/>
  <c r="E38" i="43"/>
  <c r="H40" i="37"/>
  <c r="H48" i="8"/>
  <c r="D49" i="8"/>
  <c r="E49" i="8" s="1"/>
  <c r="G48" i="8"/>
  <c r="H42" i="28"/>
  <c r="D43" i="28"/>
  <c r="E43" i="28" s="1"/>
  <c r="G42" i="28"/>
  <c r="F39" i="46"/>
  <c r="H39" i="46" s="1"/>
  <c r="B39" i="46"/>
  <c r="G39" i="45"/>
  <c r="H39" i="39"/>
  <c r="D40" i="38"/>
  <c r="E40" i="38"/>
  <c r="D39" i="42"/>
  <c r="E39" i="42" s="1"/>
  <c r="H37" i="43"/>
  <c r="I37" i="43" s="1"/>
  <c r="G44" i="24"/>
  <c r="H44" i="24"/>
  <c r="D45" i="24"/>
  <c r="E45" i="24"/>
  <c r="G40" i="37"/>
  <c r="G38" i="41"/>
  <c r="I38" i="41" s="1"/>
  <c r="D52" i="10"/>
  <c r="E52" i="10" s="1"/>
  <c r="H51" i="10"/>
  <c r="G51" i="10"/>
  <c r="G48" i="6"/>
  <c r="H48" i="6"/>
  <c r="D49" i="6"/>
  <c r="E49" i="6" s="1"/>
  <c r="G39" i="39"/>
  <c r="H39" i="38"/>
  <c r="I39" i="38" s="1"/>
  <c r="I49" i="9"/>
  <c r="D47" i="22"/>
  <c r="E47" i="22" s="1"/>
  <c r="G46" i="22"/>
  <c r="H46" i="22"/>
  <c r="D43" i="31"/>
  <c r="E43" i="31" s="1"/>
  <c r="G42" i="31"/>
  <c r="H42" i="31"/>
  <c r="H38" i="42"/>
  <c r="I38" i="42" s="1"/>
  <c r="J120" i="13"/>
  <c r="D122" i="13"/>
  <c r="E122" i="13" s="1"/>
  <c r="G121" i="13"/>
  <c r="I125" i="49" l="1"/>
  <c r="H125" i="49"/>
  <c r="D127" i="48"/>
  <c r="B127" i="48" s="1"/>
  <c r="G126" i="48"/>
  <c r="E126" i="49"/>
  <c r="F126" i="49" s="1"/>
  <c r="B126" i="49"/>
  <c r="J124" i="49"/>
  <c r="J125" i="48"/>
  <c r="G39" i="49"/>
  <c r="D40" i="49"/>
  <c r="E40" i="49"/>
  <c r="H39" i="49"/>
  <c r="F38" i="48"/>
  <c r="B38" i="48"/>
  <c r="G38" i="48"/>
  <c r="B38" i="47"/>
  <c r="F38" i="47"/>
  <c r="G38" i="47"/>
  <c r="G39" i="13"/>
  <c r="H39" i="13"/>
  <c r="D40" i="13"/>
  <c r="I39" i="44"/>
  <c r="E40" i="44"/>
  <c r="F40" i="44" s="1"/>
  <c r="H40" i="44" s="1"/>
  <c r="B40" i="44"/>
  <c r="I50" i="7"/>
  <c r="I47" i="3"/>
  <c r="I51" i="10"/>
  <c r="G39" i="46"/>
  <c r="I39" i="46" s="1"/>
  <c r="I42" i="28"/>
  <c r="I48" i="8"/>
  <c r="I41" i="30"/>
  <c r="B44" i="27"/>
  <c r="F44" i="27"/>
  <c r="I44" i="24"/>
  <c r="I49" i="11"/>
  <c r="I43" i="27"/>
  <c r="B47" i="22"/>
  <c r="F47" i="22"/>
  <c r="B52" i="10"/>
  <c r="F52" i="10"/>
  <c r="F50" i="11"/>
  <c r="B50" i="11"/>
  <c r="D51" i="9"/>
  <c r="H50" i="9"/>
  <c r="E51" i="9"/>
  <c r="G50" i="9"/>
  <c r="I39" i="39"/>
  <c r="I40" i="37"/>
  <c r="B40" i="39"/>
  <c r="F40" i="39"/>
  <c r="G40" i="39" s="1"/>
  <c r="B42" i="30"/>
  <c r="F42" i="30"/>
  <c r="F51" i="7"/>
  <c r="B51" i="7"/>
  <c r="B48" i="3"/>
  <c r="F48" i="3"/>
  <c r="B39" i="40"/>
  <c r="F39" i="40"/>
  <c r="G39" i="40" s="1"/>
  <c r="B48" i="4"/>
  <c r="F48" i="4"/>
  <c r="B40" i="45"/>
  <c r="F40" i="38"/>
  <c r="H40" i="38" s="1"/>
  <c r="B40" i="38"/>
  <c r="F46" i="23"/>
  <c r="B46" i="23"/>
  <c r="F47" i="25"/>
  <c r="B47" i="25"/>
  <c r="I42" i="31"/>
  <c r="I46" i="22"/>
  <c r="B49" i="6"/>
  <c r="F49" i="6"/>
  <c r="F39" i="42"/>
  <c r="B39" i="42"/>
  <c r="D40" i="46"/>
  <c r="B48" i="5"/>
  <c r="F48" i="5"/>
  <c r="I39" i="45"/>
  <c r="I47" i="4"/>
  <c r="E40" i="45"/>
  <c r="F40" i="45" s="1"/>
  <c r="I42" i="29"/>
  <c r="I46" i="25"/>
  <c r="F43" i="31"/>
  <c r="B43" i="31"/>
  <c r="B45" i="24"/>
  <c r="F45" i="24"/>
  <c r="F41" i="37"/>
  <c r="H41" i="37" s="1"/>
  <c r="B41" i="37"/>
  <c r="B43" i="29"/>
  <c r="F43" i="29"/>
  <c r="I48" i="6"/>
  <c r="F43" i="28"/>
  <c r="B43" i="28"/>
  <c r="F49" i="8"/>
  <c r="B49" i="8"/>
  <c r="F38" i="43"/>
  <c r="H38" i="43" s="1"/>
  <c r="B38" i="43"/>
  <c r="I47" i="5"/>
  <c r="B39" i="41"/>
  <c r="F39" i="41"/>
  <c r="G39" i="41" s="1"/>
  <c r="I45" i="23"/>
  <c r="H121" i="13"/>
  <c r="I121" i="13"/>
  <c r="F122" i="13"/>
  <c r="B122" i="13"/>
  <c r="I39" i="13" l="1"/>
  <c r="I39" i="49"/>
  <c r="D127" i="49"/>
  <c r="G126" i="49"/>
  <c r="I126" i="48"/>
  <c r="H126" i="48"/>
  <c r="E127" i="48"/>
  <c r="F127" i="48" s="1"/>
  <c r="J125" i="49"/>
  <c r="E39" i="47"/>
  <c r="D39" i="47"/>
  <c r="B40" i="49"/>
  <c r="F40" i="49"/>
  <c r="G40" i="49" s="1"/>
  <c r="H38" i="47"/>
  <c r="I38" i="47" s="1"/>
  <c r="H38" i="48"/>
  <c r="I38" i="48" s="1"/>
  <c r="E39" i="48"/>
  <c r="D39" i="48"/>
  <c r="E40" i="13"/>
  <c r="F40" i="13"/>
  <c r="G40" i="13" s="1"/>
  <c r="B40" i="13"/>
  <c r="G40" i="44"/>
  <c r="I40" i="44" s="1"/>
  <c r="D41" i="44"/>
  <c r="E41" i="44" s="1"/>
  <c r="I50" i="9"/>
  <c r="G40" i="38"/>
  <c r="I40" i="38" s="1"/>
  <c r="H39" i="40"/>
  <c r="I39" i="40" s="1"/>
  <c r="D45" i="27"/>
  <c r="E45" i="27"/>
  <c r="G44" i="27"/>
  <c r="H44" i="27"/>
  <c r="D41" i="45"/>
  <c r="H40" i="45"/>
  <c r="G40" i="45"/>
  <c r="B40" i="46"/>
  <c r="D40" i="42"/>
  <c r="E40" i="42" s="1"/>
  <c r="H52" i="10"/>
  <c r="D53" i="10"/>
  <c r="E53" i="10" s="1"/>
  <c r="G52" i="10"/>
  <c r="D40" i="41"/>
  <c r="E40" i="41" s="1"/>
  <c r="D44" i="28"/>
  <c r="H43" i="28"/>
  <c r="G43" i="28"/>
  <c r="E44" i="28"/>
  <c r="H45" i="24"/>
  <c r="D46" i="24"/>
  <c r="E46" i="24" s="1"/>
  <c r="G45" i="24"/>
  <c r="E40" i="46"/>
  <c r="F40" i="46" s="1"/>
  <c r="H39" i="42"/>
  <c r="D48" i="25"/>
  <c r="E48" i="25" s="1"/>
  <c r="G47" i="25"/>
  <c r="H47" i="25"/>
  <c r="G51" i="7"/>
  <c r="D52" i="7"/>
  <c r="E52" i="7" s="1"/>
  <c r="H51" i="7"/>
  <c r="D41" i="39"/>
  <c r="E41" i="39"/>
  <c r="F51" i="9"/>
  <c r="B51" i="9"/>
  <c r="D42" i="37"/>
  <c r="E42" i="37"/>
  <c r="H48" i="4"/>
  <c r="G48" i="4"/>
  <c r="D49" i="4"/>
  <c r="E49" i="4"/>
  <c r="H39" i="41"/>
  <c r="I39" i="41" s="1"/>
  <c r="H48" i="5"/>
  <c r="D49" i="5"/>
  <c r="G48" i="5"/>
  <c r="E49" i="5"/>
  <c r="D50" i="6"/>
  <c r="E50" i="6" s="1"/>
  <c r="H49" i="6"/>
  <c r="G49" i="6"/>
  <c r="H48" i="3"/>
  <c r="G48" i="3"/>
  <c r="D49" i="3"/>
  <c r="E49" i="3"/>
  <c r="D43" i="30"/>
  <c r="E43" i="30" s="1"/>
  <c r="G42" i="30"/>
  <c r="H42" i="30"/>
  <c r="D48" i="22"/>
  <c r="E48" i="22" s="1"/>
  <c r="G47" i="22"/>
  <c r="H47" i="22"/>
  <c r="D39" i="43"/>
  <c r="E39" i="43" s="1"/>
  <c r="D44" i="31"/>
  <c r="E44" i="31" s="1"/>
  <c r="G43" i="31"/>
  <c r="H43" i="31"/>
  <c r="G38" i="43"/>
  <c r="I38" i="43" s="1"/>
  <c r="D50" i="8"/>
  <c r="E50" i="8" s="1"/>
  <c r="G49" i="8"/>
  <c r="H49" i="8"/>
  <c r="H43" i="29"/>
  <c r="G43" i="29"/>
  <c r="D44" i="29"/>
  <c r="E44" i="29"/>
  <c r="G41" i="37"/>
  <c r="I41" i="37" s="1"/>
  <c r="G39" i="42"/>
  <c r="D47" i="23"/>
  <c r="E47" i="23" s="1"/>
  <c r="G46" i="23"/>
  <c r="H46" i="23"/>
  <c r="D41" i="38"/>
  <c r="E41" i="38"/>
  <c r="D40" i="40"/>
  <c r="E40" i="40" s="1"/>
  <c r="H40" i="39"/>
  <c r="I40" i="39" s="1"/>
  <c r="H50" i="11"/>
  <c r="D51" i="11"/>
  <c r="E51" i="11" s="1"/>
  <c r="G50" i="11"/>
  <c r="J121" i="13"/>
  <c r="D123" i="13"/>
  <c r="E123" i="13" s="1"/>
  <c r="G122" i="13"/>
  <c r="H40" i="49" l="1"/>
  <c r="I40" i="49" s="1"/>
  <c r="J126" i="48"/>
  <c r="H126" i="49"/>
  <c r="I126" i="49"/>
  <c r="J126" i="49" s="1"/>
  <c r="G127" i="48"/>
  <c r="D128" i="48"/>
  <c r="B128" i="48" s="1"/>
  <c r="E128" i="48"/>
  <c r="F128" i="48" s="1"/>
  <c r="E127" i="49"/>
  <c r="F127" i="49" s="1"/>
  <c r="B127" i="49"/>
  <c r="F39" i="47"/>
  <c r="G39" i="47" s="1"/>
  <c r="B39" i="47"/>
  <c r="F39" i="48"/>
  <c r="G39" i="48" s="1"/>
  <c r="B39" i="48"/>
  <c r="E41" i="49"/>
  <c r="D41" i="49"/>
  <c r="H40" i="13"/>
  <c r="I40" i="13" s="1"/>
  <c r="D41" i="13"/>
  <c r="I44" i="27"/>
  <c r="F41" i="44"/>
  <c r="G41" i="44" s="1"/>
  <c r="B41" i="44"/>
  <c r="I43" i="31"/>
  <c r="I47" i="22"/>
  <c r="I47" i="25"/>
  <c r="I48" i="5"/>
  <c r="I73" i="5" s="1"/>
  <c r="I42" i="30"/>
  <c r="I50" i="11"/>
  <c r="I48" i="3"/>
  <c r="I52" i="10"/>
  <c r="I45" i="24"/>
  <c r="B45" i="27"/>
  <c r="F45" i="27"/>
  <c r="D41" i="46"/>
  <c r="G40" i="46"/>
  <c r="H40" i="46"/>
  <c r="F48" i="22"/>
  <c r="B48" i="22"/>
  <c r="B50" i="6"/>
  <c r="F50" i="6"/>
  <c r="B52" i="7"/>
  <c r="F52" i="7"/>
  <c r="F44" i="28"/>
  <c r="B44" i="28"/>
  <c r="B41" i="45"/>
  <c r="F41" i="38"/>
  <c r="G41" i="38" s="1"/>
  <c r="B41" i="38"/>
  <c r="B47" i="23"/>
  <c r="F47" i="23"/>
  <c r="B44" i="29"/>
  <c r="F44" i="29"/>
  <c r="I49" i="8"/>
  <c r="I48" i="4"/>
  <c r="F41" i="39"/>
  <c r="G41" i="39" s="1"/>
  <c r="B41" i="39"/>
  <c r="B53" i="10"/>
  <c r="F53" i="10"/>
  <c r="F40" i="42"/>
  <c r="G40" i="42" s="1"/>
  <c r="B40" i="42"/>
  <c r="E41" i="45"/>
  <c r="F41" i="45" s="1"/>
  <c r="F44" i="31"/>
  <c r="B44" i="31"/>
  <c r="F49" i="3"/>
  <c r="B49" i="3"/>
  <c r="B48" i="25"/>
  <c r="F48" i="25"/>
  <c r="B40" i="41"/>
  <c r="F40" i="41"/>
  <c r="F39" i="43"/>
  <c r="G39" i="43" s="1"/>
  <c r="B39" i="43"/>
  <c r="B43" i="30"/>
  <c r="F43" i="30"/>
  <c r="F51" i="11"/>
  <c r="B51" i="11"/>
  <c r="B40" i="40"/>
  <c r="F40" i="40"/>
  <c r="H40" i="40" s="1"/>
  <c r="I46" i="23"/>
  <c r="I43" i="29"/>
  <c r="B50" i="8"/>
  <c r="F50" i="8"/>
  <c r="I49" i="6"/>
  <c r="B49" i="5"/>
  <c r="F49" i="5"/>
  <c r="F49" i="4"/>
  <c r="B49" i="4"/>
  <c r="B42" i="37"/>
  <c r="F42" i="37"/>
  <c r="G42" i="37" s="1"/>
  <c r="H51" i="9"/>
  <c r="D52" i="9"/>
  <c r="E52" i="9"/>
  <c r="G51" i="9"/>
  <c r="I51" i="7"/>
  <c r="I39" i="42"/>
  <c r="B46" i="24"/>
  <c r="F46" i="24"/>
  <c r="I43" i="28"/>
  <c r="I40" i="45"/>
  <c r="I122" i="13"/>
  <c r="H122" i="13"/>
  <c r="F123" i="13"/>
  <c r="B123" i="13"/>
  <c r="H39" i="48" l="1"/>
  <c r="I39" i="48" s="1"/>
  <c r="H39" i="47"/>
  <c r="I39" i="47" s="1"/>
  <c r="G127" i="49"/>
  <c r="D128" i="49"/>
  <c r="G128" i="48"/>
  <c r="D129" i="48"/>
  <c r="H127" i="48"/>
  <c r="I127" i="48"/>
  <c r="J127" i="48" s="1"/>
  <c r="F41" i="49"/>
  <c r="D42" i="49" s="1"/>
  <c r="B41" i="49"/>
  <c r="D40" i="48"/>
  <c r="E40" i="48"/>
  <c r="D40" i="47"/>
  <c r="E40" i="47"/>
  <c r="E41" i="13"/>
  <c r="F41" i="13" s="1"/>
  <c r="B41" i="13"/>
  <c r="H41" i="44"/>
  <c r="I41" i="44" s="1"/>
  <c r="D42" i="44"/>
  <c r="G40" i="40"/>
  <c r="I40" i="40" s="1"/>
  <c r="H41" i="38"/>
  <c r="I41" i="38" s="1"/>
  <c r="I40" i="46"/>
  <c r="I51" i="9"/>
  <c r="H40" i="42"/>
  <c r="I40" i="42" s="1"/>
  <c r="H39" i="43"/>
  <c r="I39" i="43" s="1"/>
  <c r="D46" i="27"/>
  <c r="E46" i="27"/>
  <c r="G45" i="27"/>
  <c r="H45" i="27"/>
  <c r="D42" i="45"/>
  <c r="H41" i="45"/>
  <c r="G41" i="45"/>
  <c r="D41" i="41"/>
  <c r="E41" i="41"/>
  <c r="D45" i="31"/>
  <c r="G44" i="31"/>
  <c r="H44" i="31"/>
  <c r="E45" i="31"/>
  <c r="D47" i="24"/>
  <c r="E47" i="24" s="1"/>
  <c r="G46" i="24"/>
  <c r="H46" i="24"/>
  <c r="G43" i="30"/>
  <c r="H43" i="30"/>
  <c r="D44" i="30"/>
  <c r="E44" i="30"/>
  <c r="D42" i="39"/>
  <c r="E42" i="39" s="1"/>
  <c r="D45" i="28"/>
  <c r="E45" i="28" s="1"/>
  <c r="H44" i="28"/>
  <c r="G44" i="28"/>
  <c r="F52" i="9"/>
  <c r="B52" i="9"/>
  <c r="G49" i="5"/>
  <c r="D50" i="5"/>
  <c r="H49" i="5"/>
  <c r="E50" i="5"/>
  <c r="D54" i="10"/>
  <c r="E54" i="10" s="1"/>
  <c r="H53" i="10"/>
  <c r="G53" i="10"/>
  <c r="G44" i="29"/>
  <c r="H44" i="29"/>
  <c r="D45" i="29"/>
  <c r="E45" i="29"/>
  <c r="D43" i="37"/>
  <c r="E43" i="37" s="1"/>
  <c r="D40" i="43"/>
  <c r="E40" i="43"/>
  <c r="H40" i="41"/>
  <c r="H49" i="3"/>
  <c r="G49" i="3"/>
  <c r="D50" i="3"/>
  <c r="E50" i="3"/>
  <c r="H41" i="39"/>
  <c r="I41" i="39" s="1"/>
  <c r="D48" i="23"/>
  <c r="E48" i="23" s="1"/>
  <c r="H47" i="23"/>
  <c r="G47" i="23"/>
  <c r="D53" i="7"/>
  <c r="E53" i="7" s="1"/>
  <c r="G52" i="7"/>
  <c r="H52" i="7"/>
  <c r="B41" i="46"/>
  <c r="H51" i="11"/>
  <c r="D52" i="11"/>
  <c r="G51" i="11"/>
  <c r="E52" i="11"/>
  <c r="D51" i="6"/>
  <c r="H50" i="6"/>
  <c r="G50" i="6"/>
  <c r="E51" i="6"/>
  <c r="H42" i="37"/>
  <c r="I42" i="37" s="1"/>
  <c r="H49" i="4"/>
  <c r="G49" i="4"/>
  <c r="D50" i="4"/>
  <c r="E50" i="4" s="1"/>
  <c r="H50" i="8"/>
  <c r="D51" i="8"/>
  <c r="E51" i="8" s="1"/>
  <c r="G50" i="8"/>
  <c r="D41" i="40"/>
  <c r="E41" i="40"/>
  <c r="G40" i="41"/>
  <c r="D49" i="25"/>
  <c r="G48" i="25"/>
  <c r="H48" i="25"/>
  <c r="E49" i="25"/>
  <c r="D41" i="42"/>
  <c r="E41" i="42" s="1"/>
  <c r="D42" i="38"/>
  <c r="E42" i="38"/>
  <c r="G48" i="22"/>
  <c r="D49" i="22"/>
  <c r="H48" i="22"/>
  <c r="E49" i="22"/>
  <c r="E41" i="46"/>
  <c r="F41" i="46" s="1"/>
  <c r="G123" i="13"/>
  <c r="D124" i="13"/>
  <c r="J122" i="13"/>
  <c r="E129" i="48" l="1"/>
  <c r="F129" i="48" s="1"/>
  <c r="B129" i="48"/>
  <c r="H128" i="48"/>
  <c r="I128" i="48"/>
  <c r="E128" i="49"/>
  <c r="F128" i="49"/>
  <c r="B128" i="49"/>
  <c r="H127" i="49"/>
  <c r="I127" i="49"/>
  <c r="B40" i="47"/>
  <c r="F40" i="47"/>
  <c r="H40" i="47" s="1"/>
  <c r="E42" i="49"/>
  <c r="F42" i="49" s="1"/>
  <c r="B42" i="49"/>
  <c r="H41" i="49"/>
  <c r="F40" i="48"/>
  <c r="G40" i="48" s="1"/>
  <c r="B40" i="48"/>
  <c r="G41" i="49"/>
  <c r="G41" i="13"/>
  <c r="D42" i="13"/>
  <c r="H41" i="13"/>
  <c r="E42" i="44"/>
  <c r="F42" i="44" s="1"/>
  <c r="B42" i="44"/>
  <c r="I45" i="27"/>
  <c r="F46" i="27"/>
  <c r="B46" i="27"/>
  <c r="I50" i="8"/>
  <c r="I49" i="4"/>
  <c r="I50" i="6"/>
  <c r="I40" i="41"/>
  <c r="I51" i="11"/>
  <c r="I47" i="23"/>
  <c r="I49" i="3"/>
  <c r="I46" i="24"/>
  <c r="D42" i="46"/>
  <c r="E42" i="46" s="1"/>
  <c r="H41" i="46"/>
  <c r="G41" i="46"/>
  <c r="F41" i="42"/>
  <c r="G41" i="42" s="1"/>
  <c r="B41" i="42"/>
  <c r="B51" i="6"/>
  <c r="F51" i="6"/>
  <c r="B53" i="7"/>
  <c r="F53" i="7"/>
  <c r="F54" i="10"/>
  <c r="B54" i="10"/>
  <c r="F42" i="39"/>
  <c r="H42" i="39" s="1"/>
  <c r="B42" i="39"/>
  <c r="B50" i="4"/>
  <c r="F50" i="4"/>
  <c r="F50" i="3"/>
  <c r="B50" i="3"/>
  <c r="I44" i="28"/>
  <c r="B44" i="30"/>
  <c r="F44" i="30"/>
  <c r="F45" i="31"/>
  <c r="B45" i="31"/>
  <c r="I41" i="45"/>
  <c r="F49" i="25"/>
  <c r="B49" i="25"/>
  <c r="F48" i="23"/>
  <c r="B48" i="23"/>
  <c r="B43" i="37"/>
  <c r="F43" i="37"/>
  <c r="H43" i="37" s="1"/>
  <c r="I48" i="22"/>
  <c r="B42" i="38"/>
  <c r="F42" i="38"/>
  <c r="H42" i="38" s="1"/>
  <c r="I48" i="25"/>
  <c r="F51" i="8"/>
  <c r="B51" i="8"/>
  <c r="I52" i="7"/>
  <c r="B40" i="43"/>
  <c r="F40" i="43"/>
  <c r="G40" i="43" s="1"/>
  <c r="B45" i="29"/>
  <c r="F45" i="29"/>
  <c r="I53" i="10"/>
  <c r="G52" i="9"/>
  <c r="H52" i="9"/>
  <c r="D53" i="9"/>
  <c r="E53" i="9" s="1"/>
  <c r="F45" i="28"/>
  <c r="B45" i="28"/>
  <c r="I43" i="30"/>
  <c r="B42" i="45"/>
  <c r="F49" i="22"/>
  <c r="B49" i="22"/>
  <c r="B41" i="40"/>
  <c r="F41" i="40"/>
  <c r="G41" i="40" s="1"/>
  <c r="B52" i="11"/>
  <c r="F52" i="11"/>
  <c r="I44" i="29"/>
  <c r="B50" i="5"/>
  <c r="F50" i="5"/>
  <c r="F47" i="24"/>
  <c r="B47" i="24"/>
  <c r="I44" i="31"/>
  <c r="F41" i="41"/>
  <c r="H41" i="41" s="1"/>
  <c r="B41" i="41"/>
  <c r="E42" i="45"/>
  <c r="F42" i="45" s="1"/>
  <c r="H123" i="13"/>
  <c r="I123" i="13"/>
  <c r="B124" i="13"/>
  <c r="E124" i="13"/>
  <c r="F124" i="13" s="1"/>
  <c r="J127" i="49" l="1"/>
  <c r="G40" i="47"/>
  <c r="I40" i="47" s="1"/>
  <c r="D129" i="49"/>
  <c r="B129" i="49" s="1"/>
  <c r="G128" i="49"/>
  <c r="G129" i="48"/>
  <c r="D130" i="48"/>
  <c r="B130" i="48" s="1"/>
  <c r="J128" i="48"/>
  <c r="E43" i="49"/>
  <c r="D43" i="49"/>
  <c r="G42" i="49"/>
  <c r="H42" i="49"/>
  <c r="H40" i="48"/>
  <c r="I40" i="48" s="1"/>
  <c r="E41" i="48"/>
  <c r="D41" i="48"/>
  <c r="I41" i="49"/>
  <c r="E41" i="47"/>
  <c r="D41" i="47"/>
  <c r="I41" i="13"/>
  <c r="E42" i="13"/>
  <c r="F42" i="13" s="1"/>
  <c r="B42" i="13"/>
  <c r="D43" i="44"/>
  <c r="G42" i="44"/>
  <c r="H42" i="44"/>
  <c r="H41" i="42"/>
  <c r="I41" i="42" s="1"/>
  <c r="G42" i="39"/>
  <c r="I42" i="39" s="1"/>
  <c r="G43" i="37"/>
  <c r="I43" i="37" s="1"/>
  <c r="G41" i="41"/>
  <c r="I41" i="41" s="1"/>
  <c r="G42" i="38"/>
  <c r="I42" i="38" s="1"/>
  <c r="G46" i="27"/>
  <c r="H46" i="27"/>
  <c r="D47" i="27"/>
  <c r="D43" i="45"/>
  <c r="E43" i="45" s="1"/>
  <c r="H42" i="45"/>
  <c r="G42" i="45"/>
  <c r="D42" i="40"/>
  <c r="E42" i="40"/>
  <c r="D50" i="22"/>
  <c r="G49" i="22"/>
  <c r="H49" i="22"/>
  <c r="E50" i="22"/>
  <c r="H45" i="28"/>
  <c r="G45" i="28"/>
  <c r="D46" i="28"/>
  <c r="E46" i="28"/>
  <c r="G48" i="23"/>
  <c r="D49" i="23"/>
  <c r="E49" i="23" s="1"/>
  <c r="H48" i="23"/>
  <c r="I41" i="46"/>
  <c r="H50" i="4"/>
  <c r="G50" i="4"/>
  <c r="D51" i="4"/>
  <c r="E51" i="4" s="1"/>
  <c r="D48" i="24"/>
  <c r="E48" i="24" s="1"/>
  <c r="G47" i="24"/>
  <c r="H47" i="24"/>
  <c r="G52" i="11"/>
  <c r="D53" i="11"/>
  <c r="E53" i="11" s="1"/>
  <c r="H52" i="11"/>
  <c r="B53" i="9"/>
  <c r="F53" i="9"/>
  <c r="D41" i="43"/>
  <c r="E41" i="43" s="1"/>
  <c r="D43" i="38"/>
  <c r="E43" i="38"/>
  <c r="D44" i="37"/>
  <c r="E44" i="37" s="1"/>
  <c r="H45" i="31"/>
  <c r="D46" i="31"/>
  <c r="G45" i="31"/>
  <c r="E46" i="31"/>
  <c r="H51" i="6"/>
  <c r="D52" i="6"/>
  <c r="E52" i="6" s="1"/>
  <c r="G51" i="6"/>
  <c r="G53" i="7"/>
  <c r="D54" i="7"/>
  <c r="E54" i="7" s="1"/>
  <c r="H53" i="7"/>
  <c r="D42" i="41"/>
  <c r="E42" i="41"/>
  <c r="G50" i="5"/>
  <c r="D51" i="5"/>
  <c r="H50" i="5"/>
  <c r="E51" i="5"/>
  <c r="H41" i="40"/>
  <c r="I41" i="40" s="1"/>
  <c r="I52" i="9"/>
  <c r="G45" i="29"/>
  <c r="H45" i="29"/>
  <c r="D46" i="29"/>
  <c r="E46" i="29" s="1"/>
  <c r="H40" i="43"/>
  <c r="I40" i="43" s="1"/>
  <c r="G51" i="8"/>
  <c r="D52" i="8"/>
  <c r="E52" i="8" s="1"/>
  <c r="H51" i="8"/>
  <c r="G49" i="25"/>
  <c r="H49" i="25"/>
  <c r="D50" i="25"/>
  <c r="E50" i="25"/>
  <c r="G44" i="30"/>
  <c r="H44" i="30"/>
  <c r="D45" i="30"/>
  <c r="E45" i="30"/>
  <c r="G50" i="3"/>
  <c r="D51" i="3"/>
  <c r="H50" i="3"/>
  <c r="E51" i="3"/>
  <c r="D43" i="39"/>
  <c r="E43" i="39" s="1"/>
  <c r="H54" i="10"/>
  <c r="D55" i="10"/>
  <c r="E55" i="10" s="1"/>
  <c r="G54" i="10"/>
  <c r="D42" i="42"/>
  <c r="E42" i="42"/>
  <c r="B42" i="46"/>
  <c r="F42" i="46"/>
  <c r="G42" i="46" s="1"/>
  <c r="J123" i="13"/>
  <c r="G124" i="13"/>
  <c r="D125" i="13"/>
  <c r="E125" i="13" s="1"/>
  <c r="E129" i="49" l="1"/>
  <c r="F129" i="49" s="1"/>
  <c r="E130" i="48"/>
  <c r="F130" i="48" s="1"/>
  <c r="G130" i="48" s="1"/>
  <c r="I129" i="48"/>
  <c r="H129" i="48"/>
  <c r="I128" i="49"/>
  <c r="H128" i="49"/>
  <c r="D130" i="49"/>
  <c r="G129" i="49"/>
  <c r="B41" i="48"/>
  <c r="F41" i="48"/>
  <c r="G41" i="48" s="1"/>
  <c r="H41" i="48"/>
  <c r="I42" i="49"/>
  <c r="F41" i="47"/>
  <c r="G41" i="47" s="1"/>
  <c r="B41" i="47"/>
  <c r="F43" i="49"/>
  <c r="H43" i="49" s="1"/>
  <c r="B43" i="49"/>
  <c r="G42" i="13"/>
  <c r="D43" i="13"/>
  <c r="H42" i="13"/>
  <c r="I42" i="44"/>
  <c r="E43" i="44"/>
  <c r="F43" i="44" s="1"/>
  <c r="B43" i="44"/>
  <c r="I45" i="28"/>
  <c r="I49" i="22"/>
  <c r="I53" i="7"/>
  <c r="I45" i="29"/>
  <c r="I45" i="31"/>
  <c r="I48" i="23"/>
  <c r="I46" i="27"/>
  <c r="H42" i="46"/>
  <c r="I42" i="46" s="1"/>
  <c r="B47" i="27"/>
  <c r="E47" i="27"/>
  <c r="F47" i="27" s="1"/>
  <c r="I44" i="30"/>
  <c r="I49" i="25"/>
  <c r="I51" i="8"/>
  <c r="B43" i="39"/>
  <c r="F43" i="39"/>
  <c r="G43" i="39" s="1"/>
  <c r="F52" i="8"/>
  <c r="B52" i="8"/>
  <c r="B46" i="29"/>
  <c r="F46" i="29"/>
  <c r="B43" i="38"/>
  <c r="F43" i="38"/>
  <c r="B48" i="24"/>
  <c r="F48" i="24"/>
  <c r="I50" i="4"/>
  <c r="I42" i="45"/>
  <c r="B46" i="31"/>
  <c r="F46" i="31"/>
  <c r="H53" i="9"/>
  <c r="G53" i="9"/>
  <c r="D54" i="9"/>
  <c r="E54" i="9" s="1"/>
  <c r="D43" i="46"/>
  <c r="E43" i="46" s="1"/>
  <c r="B55" i="10"/>
  <c r="F55" i="10"/>
  <c r="B54" i="7"/>
  <c r="F54" i="7"/>
  <c r="F52" i="6"/>
  <c r="B52" i="6"/>
  <c r="B44" i="37"/>
  <c r="F44" i="37"/>
  <c r="H44" i="37" s="1"/>
  <c r="F49" i="23"/>
  <c r="B49" i="23"/>
  <c r="B46" i="28"/>
  <c r="F46" i="28"/>
  <c r="F42" i="40"/>
  <c r="G42" i="40" s="1"/>
  <c r="B42" i="40"/>
  <c r="F51" i="3"/>
  <c r="B51" i="3"/>
  <c r="B51" i="5"/>
  <c r="F51" i="5"/>
  <c r="F53" i="11"/>
  <c r="B53" i="11"/>
  <c r="F50" i="22"/>
  <c r="B50" i="22"/>
  <c r="B42" i="42"/>
  <c r="F42" i="42"/>
  <c r="G42" i="42" s="1"/>
  <c r="I54" i="10"/>
  <c r="I50" i="3"/>
  <c r="B45" i="30"/>
  <c r="F45" i="30"/>
  <c r="F50" i="25"/>
  <c r="B50" i="25"/>
  <c r="B42" i="41"/>
  <c r="F42" i="41"/>
  <c r="I51" i="6"/>
  <c r="B41" i="43"/>
  <c r="F41" i="43"/>
  <c r="H41" i="43" s="1"/>
  <c r="I52" i="11"/>
  <c r="I47" i="24"/>
  <c r="B51" i="4"/>
  <c r="F51" i="4"/>
  <c r="B43" i="45"/>
  <c r="F43" i="45"/>
  <c r="H43" i="45" s="1"/>
  <c r="B125" i="13"/>
  <c r="F125" i="13"/>
  <c r="I124" i="13"/>
  <c r="H124" i="13"/>
  <c r="D131" i="48" l="1"/>
  <c r="H41" i="47"/>
  <c r="I41" i="47" s="1"/>
  <c r="I129" i="49"/>
  <c r="H129" i="49"/>
  <c r="E131" i="48"/>
  <c r="F131" i="48" s="1"/>
  <c r="B131" i="48"/>
  <c r="E130" i="49"/>
  <c r="F130" i="49"/>
  <c r="B130" i="49"/>
  <c r="I130" i="48"/>
  <c r="H130" i="48"/>
  <c r="J128" i="49"/>
  <c r="J129" i="48"/>
  <c r="D44" i="49"/>
  <c r="E44" i="49"/>
  <c r="I41" i="48"/>
  <c r="G43" i="49"/>
  <c r="I43" i="49" s="1"/>
  <c r="E42" i="47"/>
  <c r="D42" i="47"/>
  <c r="E42" i="48"/>
  <c r="D42" i="48"/>
  <c r="I42" i="13"/>
  <c r="B43" i="13"/>
  <c r="E43" i="13"/>
  <c r="F43" i="13" s="1"/>
  <c r="G43" i="44"/>
  <c r="D44" i="44"/>
  <c r="H43" i="44"/>
  <c r="G41" i="43"/>
  <c r="I41" i="43" s="1"/>
  <c r="H47" i="27"/>
  <c r="D48" i="27"/>
  <c r="G47" i="27"/>
  <c r="G43" i="45"/>
  <c r="I43" i="45" s="1"/>
  <c r="D43" i="41"/>
  <c r="E43" i="41"/>
  <c r="H54" i="7"/>
  <c r="D55" i="7"/>
  <c r="G54" i="7"/>
  <c r="E55" i="7"/>
  <c r="D44" i="38"/>
  <c r="E44" i="38" s="1"/>
  <c r="H42" i="41"/>
  <c r="G45" i="30"/>
  <c r="H45" i="30"/>
  <c r="D46" i="30"/>
  <c r="E46" i="30"/>
  <c r="H42" i="42"/>
  <c r="I42" i="42" s="1"/>
  <c r="H53" i="11"/>
  <c r="D54" i="11"/>
  <c r="G53" i="11"/>
  <c r="E54" i="11"/>
  <c r="H51" i="3"/>
  <c r="D52" i="3"/>
  <c r="G51" i="3"/>
  <c r="E52" i="3"/>
  <c r="D43" i="40"/>
  <c r="E43" i="40"/>
  <c r="H49" i="23"/>
  <c r="D50" i="23"/>
  <c r="E50" i="23" s="1"/>
  <c r="G49" i="23"/>
  <c r="G44" i="37"/>
  <c r="I44" i="37" s="1"/>
  <c r="I53" i="9"/>
  <c r="G43" i="38"/>
  <c r="D44" i="39"/>
  <c r="E44" i="39"/>
  <c r="H50" i="25"/>
  <c r="D51" i="25"/>
  <c r="G50" i="25"/>
  <c r="E51" i="25"/>
  <c r="F43" i="46"/>
  <c r="H43" i="46" s="1"/>
  <c r="B43" i="46"/>
  <c r="D47" i="29"/>
  <c r="E47" i="29" s="1"/>
  <c r="G46" i="29"/>
  <c r="H46" i="29"/>
  <c r="D44" i="45"/>
  <c r="G51" i="4"/>
  <c r="H51" i="4"/>
  <c r="D52" i="4"/>
  <c r="E52" i="4" s="1"/>
  <c r="D42" i="43"/>
  <c r="E42" i="43"/>
  <c r="H51" i="5"/>
  <c r="D52" i="5"/>
  <c r="G51" i="5"/>
  <c r="E52" i="5"/>
  <c r="H42" i="40"/>
  <c r="I42" i="40" s="1"/>
  <c r="G46" i="28"/>
  <c r="H46" i="28"/>
  <c r="D47" i="28"/>
  <c r="E47" i="28"/>
  <c r="G55" i="10"/>
  <c r="H55" i="10"/>
  <c r="D56" i="10"/>
  <c r="E56" i="10" s="1"/>
  <c r="H46" i="31"/>
  <c r="G46" i="31"/>
  <c r="D47" i="31"/>
  <c r="E47" i="31"/>
  <c r="D49" i="24"/>
  <c r="G48" i="24"/>
  <c r="H48" i="24"/>
  <c r="E49" i="24"/>
  <c r="H43" i="39"/>
  <c r="I43" i="39" s="1"/>
  <c r="G42" i="41"/>
  <c r="D43" i="42"/>
  <c r="E43" i="42"/>
  <c r="H50" i="22"/>
  <c r="D51" i="22"/>
  <c r="G50" i="22"/>
  <c r="E51" i="22"/>
  <c r="D45" i="37"/>
  <c r="E45" i="37" s="1"/>
  <c r="H52" i="6"/>
  <c r="D53" i="6"/>
  <c r="E53" i="6" s="1"/>
  <c r="G52" i="6"/>
  <c r="B54" i="9"/>
  <c r="F54" i="9"/>
  <c r="H43" i="38"/>
  <c r="D53" i="8"/>
  <c r="H52" i="8"/>
  <c r="G52" i="8"/>
  <c r="E53" i="8"/>
  <c r="D126" i="13"/>
  <c r="G125" i="13"/>
  <c r="J124" i="13"/>
  <c r="G131" i="48" l="1"/>
  <c r="D132" i="48"/>
  <c r="G130" i="49"/>
  <c r="D131" i="49"/>
  <c r="J130" i="48"/>
  <c r="J155" i="48" s="1"/>
  <c r="J129" i="49"/>
  <c r="B42" i="47"/>
  <c r="F42" i="47"/>
  <c r="H42" i="47" s="1"/>
  <c r="B42" i="48"/>
  <c r="F42" i="48"/>
  <c r="G42" i="48" s="1"/>
  <c r="F44" i="49"/>
  <c r="H44" i="49" s="1"/>
  <c r="B44" i="49"/>
  <c r="D44" i="13"/>
  <c r="H43" i="13"/>
  <c r="G43" i="13"/>
  <c r="I43" i="44"/>
  <c r="B44" i="44"/>
  <c r="E44" i="44"/>
  <c r="F44" i="44" s="1"/>
  <c r="H44" i="44" s="1"/>
  <c r="I43" i="38"/>
  <c r="I49" i="23"/>
  <c r="I51" i="4"/>
  <c r="I54" i="7"/>
  <c r="I48" i="24"/>
  <c r="B48" i="27"/>
  <c r="I47" i="27"/>
  <c r="I52" i="6"/>
  <c r="I46" i="31"/>
  <c r="I46" i="29"/>
  <c r="E48" i="27"/>
  <c r="F48" i="27" s="1"/>
  <c r="B53" i="6"/>
  <c r="F53" i="6"/>
  <c r="F52" i="5"/>
  <c r="B52" i="5"/>
  <c r="I52" i="8"/>
  <c r="B43" i="42"/>
  <c r="F43" i="42"/>
  <c r="G43" i="42" s="1"/>
  <c r="F56" i="10"/>
  <c r="B56" i="10"/>
  <c r="F52" i="4"/>
  <c r="B52" i="4"/>
  <c r="I42" i="41"/>
  <c r="H54" i="9"/>
  <c r="D55" i="9"/>
  <c r="E55" i="9"/>
  <c r="G54" i="9"/>
  <c r="F44" i="38"/>
  <c r="G44" i="38" s="1"/>
  <c r="B44" i="38"/>
  <c r="B53" i="8"/>
  <c r="F53" i="8"/>
  <c r="F51" i="22"/>
  <c r="B51" i="22"/>
  <c r="F47" i="31"/>
  <c r="B47" i="31"/>
  <c r="I55" i="10"/>
  <c r="F47" i="28"/>
  <c r="B47" i="28"/>
  <c r="B44" i="45"/>
  <c r="D44" i="46"/>
  <c r="E44" i="46" s="1"/>
  <c r="F51" i="25"/>
  <c r="B51" i="25"/>
  <c r="B44" i="39"/>
  <c r="F44" i="39"/>
  <c r="G44" i="39" s="1"/>
  <c r="F52" i="3"/>
  <c r="B52" i="3"/>
  <c r="B54" i="11"/>
  <c r="F54" i="11"/>
  <c r="F46" i="30"/>
  <c r="B46" i="30"/>
  <c r="F43" i="41"/>
  <c r="G43" i="41" s="1"/>
  <c r="B43" i="41"/>
  <c r="F49" i="24"/>
  <c r="B49" i="24"/>
  <c r="F50" i="23"/>
  <c r="B50" i="23"/>
  <c r="B45" i="37"/>
  <c r="F45" i="37"/>
  <c r="H45" i="37" s="1"/>
  <c r="I50" i="22"/>
  <c r="I46" i="28"/>
  <c r="B42" i="43"/>
  <c r="F42" i="43"/>
  <c r="G42" i="43" s="1"/>
  <c r="E44" i="45"/>
  <c r="F44" i="45" s="1"/>
  <c r="F47" i="29"/>
  <c r="B47" i="29"/>
  <c r="G43" i="46"/>
  <c r="I43" i="46" s="1"/>
  <c r="I50" i="25"/>
  <c r="F43" i="40"/>
  <c r="G43" i="40" s="1"/>
  <c r="B43" i="40"/>
  <c r="I51" i="3"/>
  <c r="I53" i="11"/>
  <c r="I45" i="30"/>
  <c r="B55" i="7"/>
  <c r="F55" i="7"/>
  <c r="I125" i="13"/>
  <c r="H125" i="13"/>
  <c r="B126" i="13"/>
  <c r="E126" i="13"/>
  <c r="F126" i="13" s="1"/>
  <c r="G44" i="49" l="1"/>
  <c r="G42" i="47"/>
  <c r="I42" i="47" s="1"/>
  <c r="E131" i="49"/>
  <c r="F131" i="49" s="1"/>
  <c r="B131" i="49"/>
  <c r="I130" i="49"/>
  <c r="H130" i="49"/>
  <c r="E132" i="48"/>
  <c r="F132" i="48" s="1"/>
  <c r="B132" i="48"/>
  <c r="I131" i="48"/>
  <c r="H131" i="48"/>
  <c r="I44" i="49"/>
  <c r="H42" i="48"/>
  <c r="I42" i="48" s="1"/>
  <c r="E43" i="48"/>
  <c r="D43" i="48"/>
  <c r="D43" i="47"/>
  <c r="E43" i="47"/>
  <c r="E45" i="49"/>
  <c r="D45" i="49"/>
  <c r="I43" i="13"/>
  <c r="E44" i="13"/>
  <c r="F44" i="13" s="1"/>
  <c r="B44" i="13"/>
  <c r="G44" i="44"/>
  <c r="I44" i="44" s="1"/>
  <c r="D45" i="44"/>
  <c r="I54" i="9"/>
  <c r="H43" i="41"/>
  <c r="I43" i="41" s="1"/>
  <c r="H43" i="42"/>
  <c r="I43" i="42" s="1"/>
  <c r="G48" i="27"/>
  <c r="D49" i="27"/>
  <c r="E49" i="27"/>
  <c r="H48" i="27"/>
  <c r="H44" i="38"/>
  <c r="I44" i="38" s="1"/>
  <c r="H44" i="39"/>
  <c r="I44" i="39" s="1"/>
  <c r="D45" i="45"/>
  <c r="E45" i="45" s="1"/>
  <c r="H44" i="45"/>
  <c r="G44" i="45"/>
  <c r="G51" i="22"/>
  <c r="D52" i="22"/>
  <c r="E52" i="22" s="1"/>
  <c r="H51" i="22"/>
  <c r="D44" i="40"/>
  <c r="E44" i="40"/>
  <c r="D43" i="43"/>
  <c r="E43" i="43" s="1"/>
  <c r="D46" i="37"/>
  <c r="E46" i="37"/>
  <c r="H50" i="23"/>
  <c r="G50" i="23"/>
  <c r="D51" i="23"/>
  <c r="E51" i="23"/>
  <c r="D47" i="30"/>
  <c r="E47" i="30" s="1"/>
  <c r="H46" i="30"/>
  <c r="G46" i="30"/>
  <c r="G52" i="3"/>
  <c r="D53" i="3"/>
  <c r="H52" i="3"/>
  <c r="E53" i="3"/>
  <c r="B44" i="46"/>
  <c r="F44" i="46"/>
  <c r="G44" i="46" s="1"/>
  <c r="G53" i="8"/>
  <c r="H53" i="8"/>
  <c r="D54" i="8"/>
  <c r="E54" i="8"/>
  <c r="D45" i="38"/>
  <c r="E45" i="38" s="1"/>
  <c r="H56" i="10"/>
  <c r="D57" i="10"/>
  <c r="E57" i="10" s="1"/>
  <c r="G56" i="10"/>
  <c r="H53" i="6"/>
  <c r="D54" i="6"/>
  <c r="E54" i="6" s="1"/>
  <c r="G53" i="6"/>
  <c r="G54" i="11"/>
  <c r="H54" i="11"/>
  <c r="D55" i="11"/>
  <c r="E55" i="11"/>
  <c r="D45" i="39"/>
  <c r="E45" i="39" s="1"/>
  <c r="D48" i="31"/>
  <c r="E48" i="31" s="1"/>
  <c r="G47" i="31"/>
  <c r="H47" i="31"/>
  <c r="H52" i="5"/>
  <c r="D53" i="5"/>
  <c r="E53" i="5" s="1"/>
  <c r="G52" i="5"/>
  <c r="H55" i="7"/>
  <c r="G55" i="7"/>
  <c r="D56" i="7"/>
  <c r="E56" i="7"/>
  <c r="H43" i="40"/>
  <c r="I43" i="40" s="1"/>
  <c r="D48" i="29"/>
  <c r="E48" i="29" s="1"/>
  <c r="H47" i="29"/>
  <c r="G47" i="29"/>
  <c r="H42" i="43"/>
  <c r="I42" i="43" s="1"/>
  <c r="G45" i="37"/>
  <c r="I45" i="37" s="1"/>
  <c r="H49" i="24"/>
  <c r="D50" i="24"/>
  <c r="E50" i="24" s="1"/>
  <c r="G49" i="24"/>
  <c r="D44" i="41"/>
  <c r="E44" i="41"/>
  <c r="G51" i="25"/>
  <c r="H51" i="25"/>
  <c r="D52" i="25"/>
  <c r="E52" i="25"/>
  <c r="G47" i="28"/>
  <c r="H47" i="28"/>
  <c r="D48" i="28"/>
  <c r="E48" i="28"/>
  <c r="F55" i="9"/>
  <c r="B55" i="9"/>
  <c r="H52" i="4"/>
  <c r="D53" i="4"/>
  <c r="E53" i="4" s="1"/>
  <c r="G52" i="4"/>
  <c r="D44" i="42"/>
  <c r="E44" i="42"/>
  <c r="J125" i="13"/>
  <c r="D127" i="13"/>
  <c r="G126" i="13"/>
  <c r="J130" i="49" l="1"/>
  <c r="J155" i="49" s="1"/>
  <c r="G131" i="49"/>
  <c r="D132" i="49"/>
  <c r="B132" i="49" s="1"/>
  <c r="E132" i="49"/>
  <c r="F132" i="49" s="1"/>
  <c r="D133" i="48"/>
  <c r="G132" i="48"/>
  <c r="F43" i="47"/>
  <c r="H43" i="47" s="1"/>
  <c r="B43" i="47"/>
  <c r="B45" i="49"/>
  <c r="F45" i="49"/>
  <c r="H45" i="49"/>
  <c r="F43" i="48"/>
  <c r="B43" i="48"/>
  <c r="G44" i="13"/>
  <c r="D45" i="13"/>
  <c r="H44" i="13"/>
  <c r="E45" i="44"/>
  <c r="F45" i="44" s="1"/>
  <c r="H45" i="44" s="1"/>
  <c r="B45" i="44"/>
  <c r="I50" i="23"/>
  <c r="I51" i="22"/>
  <c r="I48" i="27"/>
  <c r="I47" i="28"/>
  <c r="I51" i="25"/>
  <c r="I52" i="4"/>
  <c r="H44" i="46"/>
  <c r="I44" i="46" s="1"/>
  <c r="F49" i="27"/>
  <c r="B49" i="27"/>
  <c r="I47" i="29"/>
  <c r="I54" i="11"/>
  <c r="I46" i="30"/>
  <c r="B44" i="41"/>
  <c r="F44" i="41"/>
  <c r="G44" i="41" s="1"/>
  <c r="B45" i="38"/>
  <c r="F45" i="38"/>
  <c r="G45" i="38" s="1"/>
  <c r="H55" i="9"/>
  <c r="G55" i="9"/>
  <c r="D56" i="9"/>
  <c r="E56" i="9" s="1"/>
  <c r="B50" i="24"/>
  <c r="F50" i="24"/>
  <c r="B48" i="29"/>
  <c r="F48" i="29"/>
  <c r="B53" i="5"/>
  <c r="F53" i="5"/>
  <c r="I47" i="31"/>
  <c r="B45" i="39"/>
  <c r="F45" i="39"/>
  <c r="H45" i="39" s="1"/>
  <c r="F54" i="6"/>
  <c r="B54" i="6"/>
  <c r="I56" i="10"/>
  <c r="D45" i="46"/>
  <c r="E45" i="46" s="1"/>
  <c r="F52" i="22"/>
  <c r="B52" i="22"/>
  <c r="I44" i="45"/>
  <c r="F48" i="28"/>
  <c r="B48" i="28"/>
  <c r="B57" i="10"/>
  <c r="F57" i="10"/>
  <c r="F47" i="30"/>
  <c r="B47" i="30"/>
  <c r="B43" i="43"/>
  <c r="F43" i="43"/>
  <c r="G43" i="43" s="1"/>
  <c r="B53" i="4"/>
  <c r="F53" i="4"/>
  <c r="I49" i="24"/>
  <c r="I55" i="7"/>
  <c r="I53" i="6"/>
  <c r="B54" i="8"/>
  <c r="F54" i="8"/>
  <c r="I52" i="3"/>
  <c r="F51" i="23"/>
  <c r="B51" i="23"/>
  <c r="B46" i="37"/>
  <c r="F46" i="37"/>
  <c r="G46" i="37" s="1"/>
  <c r="B44" i="40"/>
  <c r="F44" i="40"/>
  <c r="H44" i="40" s="1"/>
  <c r="F52" i="25"/>
  <c r="B52" i="25"/>
  <c r="F56" i="7"/>
  <c r="B56" i="7"/>
  <c r="F44" i="42"/>
  <c r="H44" i="42" s="1"/>
  <c r="B44" i="42"/>
  <c r="F48" i="31"/>
  <c r="B48" i="31"/>
  <c r="F55" i="11"/>
  <c r="B55" i="11"/>
  <c r="I53" i="8"/>
  <c r="F53" i="3"/>
  <c r="B53" i="3"/>
  <c r="F45" i="45"/>
  <c r="H45" i="45" s="1"/>
  <c r="B45" i="45"/>
  <c r="B127" i="13"/>
  <c r="H126" i="13"/>
  <c r="I126" i="13"/>
  <c r="E127" i="13"/>
  <c r="F127" i="13" s="1"/>
  <c r="E133" i="48" l="1"/>
  <c r="F133" i="48" s="1"/>
  <c r="B133" i="48"/>
  <c r="D133" i="49"/>
  <c r="B133" i="49" s="1"/>
  <c r="G132" i="49"/>
  <c r="I132" i="48"/>
  <c r="H132" i="48"/>
  <c r="H131" i="49"/>
  <c r="I131" i="49"/>
  <c r="D44" i="48"/>
  <c r="E44" i="48"/>
  <c r="I43" i="47"/>
  <c r="I44" i="13"/>
  <c r="G43" i="48"/>
  <c r="H43" i="48"/>
  <c r="I43" i="48" s="1"/>
  <c r="G45" i="49"/>
  <c r="I45" i="49" s="1"/>
  <c r="D46" i="49"/>
  <c r="G43" i="47"/>
  <c r="E44" i="47"/>
  <c r="D44" i="47"/>
  <c r="E45" i="13"/>
  <c r="F45" i="13" s="1"/>
  <c r="B45" i="13"/>
  <c r="G45" i="39"/>
  <c r="I45" i="39" s="1"/>
  <c r="G44" i="42"/>
  <c r="I44" i="42" s="1"/>
  <c r="G45" i="44"/>
  <c r="I45" i="44" s="1"/>
  <c r="D46" i="44"/>
  <c r="H46" i="37"/>
  <c r="I46" i="37" s="1"/>
  <c r="G45" i="45"/>
  <c r="I45" i="45" s="1"/>
  <c r="H43" i="43"/>
  <c r="I43" i="43" s="1"/>
  <c r="G49" i="27"/>
  <c r="H49" i="27"/>
  <c r="D50" i="27"/>
  <c r="I55" i="9"/>
  <c r="G47" i="30"/>
  <c r="H47" i="30"/>
  <c r="D48" i="30"/>
  <c r="E48" i="30" s="1"/>
  <c r="D49" i="28"/>
  <c r="E49" i="28" s="1"/>
  <c r="G48" i="28"/>
  <c r="H48" i="28"/>
  <c r="D55" i="6"/>
  <c r="E55" i="6" s="1"/>
  <c r="G54" i="6"/>
  <c r="H54" i="6"/>
  <c r="D56" i="11"/>
  <c r="E56" i="11" s="1"/>
  <c r="G55" i="11"/>
  <c r="H55" i="11"/>
  <c r="D57" i="7"/>
  <c r="E57" i="7" s="1"/>
  <c r="G56" i="7"/>
  <c r="H56" i="7"/>
  <c r="D45" i="40"/>
  <c r="E45" i="40"/>
  <c r="G51" i="23"/>
  <c r="H51" i="23"/>
  <c r="D52" i="23"/>
  <c r="E52" i="23" s="1"/>
  <c r="D54" i="4"/>
  <c r="E54" i="4" s="1"/>
  <c r="G53" i="4"/>
  <c r="H53" i="4"/>
  <c r="G57" i="10"/>
  <c r="D58" i="10"/>
  <c r="E58" i="10" s="1"/>
  <c r="H57" i="10"/>
  <c r="D46" i="38"/>
  <c r="E46" i="38"/>
  <c r="D45" i="41"/>
  <c r="E45" i="41"/>
  <c r="H54" i="8"/>
  <c r="D55" i="8"/>
  <c r="G54" i="8"/>
  <c r="E55" i="8"/>
  <c r="F56" i="9"/>
  <c r="B56" i="9"/>
  <c r="G53" i="3"/>
  <c r="D54" i="3"/>
  <c r="H53" i="3"/>
  <c r="E54" i="3"/>
  <c r="D45" i="42"/>
  <c r="E45" i="42" s="1"/>
  <c r="G44" i="40"/>
  <c r="I44" i="40" s="1"/>
  <c r="D47" i="37"/>
  <c r="E47" i="37" s="1"/>
  <c r="D46" i="39"/>
  <c r="E46" i="39"/>
  <c r="D54" i="5"/>
  <c r="E54" i="5" s="1"/>
  <c r="G53" i="5"/>
  <c r="H53" i="5"/>
  <c r="G50" i="24"/>
  <c r="D51" i="24"/>
  <c r="E51" i="24" s="1"/>
  <c r="H50" i="24"/>
  <c r="H44" i="41"/>
  <c r="I44" i="41" s="1"/>
  <c r="B45" i="46"/>
  <c r="F45" i="46"/>
  <c r="H48" i="29"/>
  <c r="G48" i="29"/>
  <c r="D49" i="29"/>
  <c r="E49" i="29" s="1"/>
  <c r="D46" i="45"/>
  <c r="D49" i="31"/>
  <c r="E49" i="31" s="1"/>
  <c r="H48" i="31"/>
  <c r="G48" i="31"/>
  <c r="H52" i="25"/>
  <c r="D53" i="25"/>
  <c r="E53" i="25" s="1"/>
  <c r="G52" i="25"/>
  <c r="D44" i="43"/>
  <c r="E44" i="43" s="1"/>
  <c r="H52" i="22"/>
  <c r="G52" i="22"/>
  <c r="D53" i="22"/>
  <c r="E53" i="22" s="1"/>
  <c r="H45" i="38"/>
  <c r="I45" i="38" s="1"/>
  <c r="J126" i="13"/>
  <c r="G127" i="13"/>
  <c r="D128" i="13"/>
  <c r="E128" i="13" s="1"/>
  <c r="D134" i="48" l="1"/>
  <c r="G133" i="48"/>
  <c r="E133" i="49"/>
  <c r="F133" i="49" s="1"/>
  <c r="H132" i="49"/>
  <c r="I132" i="49"/>
  <c r="F44" i="47"/>
  <c r="G44" i="47" s="1"/>
  <c r="H44" i="47"/>
  <c r="B44" i="47"/>
  <c r="E46" i="49"/>
  <c r="F46" i="49"/>
  <c r="B46" i="49"/>
  <c r="B44" i="48"/>
  <c r="F44" i="48"/>
  <c r="G44" i="48"/>
  <c r="D46" i="13"/>
  <c r="G45" i="13"/>
  <c r="H45" i="13"/>
  <c r="E46" i="44"/>
  <c r="F46" i="44" s="1"/>
  <c r="B46" i="44"/>
  <c r="I47" i="30"/>
  <c r="I48" i="31"/>
  <c r="I52" i="25"/>
  <c r="I51" i="23"/>
  <c r="B50" i="27"/>
  <c r="I53" i="3"/>
  <c r="I49" i="27"/>
  <c r="I50" i="24"/>
  <c r="I54" i="8"/>
  <c r="E50" i="27"/>
  <c r="F50" i="27" s="1"/>
  <c r="F49" i="31"/>
  <c r="B49" i="31"/>
  <c r="D46" i="46"/>
  <c r="D57" i="9"/>
  <c r="E57" i="9" s="1"/>
  <c r="H56" i="9"/>
  <c r="G56" i="9"/>
  <c r="F55" i="8"/>
  <c r="B55" i="8"/>
  <c r="F45" i="41"/>
  <c r="B45" i="41"/>
  <c r="F54" i="4"/>
  <c r="B54" i="4"/>
  <c r="F45" i="40"/>
  <c r="G45" i="40" s="1"/>
  <c r="B45" i="40"/>
  <c r="B57" i="7"/>
  <c r="F57" i="7"/>
  <c r="B49" i="29"/>
  <c r="F49" i="29"/>
  <c r="I52" i="22"/>
  <c r="B46" i="45"/>
  <c r="G45" i="46"/>
  <c r="F46" i="39"/>
  <c r="B46" i="39"/>
  <c r="B54" i="3"/>
  <c r="F54" i="3"/>
  <c r="I57" i="10"/>
  <c r="F56" i="11"/>
  <c r="B56" i="11"/>
  <c r="B55" i="6"/>
  <c r="F55" i="6"/>
  <c r="B49" i="28"/>
  <c r="F49" i="28"/>
  <c r="E46" i="45"/>
  <c r="F46" i="45" s="1"/>
  <c r="I48" i="29"/>
  <c r="B51" i="24"/>
  <c r="F51" i="24"/>
  <c r="B47" i="37"/>
  <c r="F47" i="37"/>
  <c r="H47" i="37" s="1"/>
  <c r="F45" i="42"/>
  <c r="G45" i="42" s="1"/>
  <c r="B45" i="42"/>
  <c r="F46" i="38"/>
  <c r="H46" i="38" s="1"/>
  <c r="B46" i="38"/>
  <c r="I53" i="4"/>
  <c r="I56" i="7"/>
  <c r="B53" i="22"/>
  <c r="F53" i="22"/>
  <c r="F44" i="43"/>
  <c r="B44" i="43"/>
  <c r="B53" i="25"/>
  <c r="F53" i="25"/>
  <c r="H45" i="46"/>
  <c r="F54" i="5"/>
  <c r="B54" i="5"/>
  <c r="B58" i="10"/>
  <c r="F58" i="10"/>
  <c r="B52" i="23"/>
  <c r="F52" i="23"/>
  <c r="I55" i="11"/>
  <c r="I54" i="6"/>
  <c r="I48" i="28"/>
  <c r="B48" i="30"/>
  <c r="F48" i="30"/>
  <c r="F128" i="13"/>
  <c r="B128" i="13"/>
  <c r="H127" i="13"/>
  <c r="I127" i="13"/>
  <c r="I44" i="47" l="1"/>
  <c r="D134" i="49"/>
  <c r="G133" i="49"/>
  <c r="H133" i="48"/>
  <c r="I133" i="48"/>
  <c r="E134" i="48"/>
  <c r="F134" i="48" s="1"/>
  <c r="B134" i="48"/>
  <c r="H44" i="48"/>
  <c r="I44" i="48" s="1"/>
  <c r="E45" i="48"/>
  <c r="D45" i="48"/>
  <c r="E47" i="49"/>
  <c r="D47" i="49"/>
  <c r="H46" i="49"/>
  <c r="G46" i="49"/>
  <c r="E45" i="47"/>
  <c r="D45" i="47"/>
  <c r="I45" i="13"/>
  <c r="E46" i="13"/>
  <c r="F46" i="13" s="1"/>
  <c r="B46" i="13"/>
  <c r="H46" i="44"/>
  <c r="D47" i="44"/>
  <c r="G46" i="44"/>
  <c r="G47" i="37"/>
  <c r="I47" i="37" s="1"/>
  <c r="I45" i="46"/>
  <c r="H50" i="27"/>
  <c r="G50" i="27"/>
  <c r="D51" i="27"/>
  <c r="D47" i="45"/>
  <c r="E47" i="45" s="1"/>
  <c r="H46" i="45"/>
  <c r="G46" i="45"/>
  <c r="D49" i="30"/>
  <c r="G48" i="30"/>
  <c r="H48" i="30"/>
  <c r="E49" i="30"/>
  <c r="D54" i="25"/>
  <c r="G53" i="25"/>
  <c r="H53" i="25"/>
  <c r="E54" i="25"/>
  <c r="D45" i="43"/>
  <c r="E45" i="43"/>
  <c r="D50" i="28"/>
  <c r="E50" i="28" s="1"/>
  <c r="G49" i="28"/>
  <c r="H49" i="28"/>
  <c r="H54" i="3"/>
  <c r="D55" i="3"/>
  <c r="E55" i="3" s="1"/>
  <c r="G54" i="3"/>
  <c r="D47" i="39"/>
  <c r="E47" i="39"/>
  <c r="H49" i="29"/>
  <c r="D50" i="29"/>
  <c r="G49" i="29"/>
  <c r="E50" i="29"/>
  <c r="D46" i="41"/>
  <c r="E46" i="41"/>
  <c r="B46" i="46"/>
  <c r="G52" i="23"/>
  <c r="D53" i="23"/>
  <c r="H52" i="23"/>
  <c r="E53" i="23"/>
  <c r="H44" i="43"/>
  <c r="D47" i="38"/>
  <c r="E47" i="38"/>
  <c r="D46" i="42"/>
  <c r="E46" i="42"/>
  <c r="D57" i="11"/>
  <c r="G56" i="11"/>
  <c r="H56" i="11"/>
  <c r="E57" i="11"/>
  <c r="H46" i="39"/>
  <c r="G54" i="4"/>
  <c r="D55" i="4"/>
  <c r="E55" i="4" s="1"/>
  <c r="H54" i="4"/>
  <c r="G45" i="41"/>
  <c r="E46" i="46"/>
  <c r="F46" i="46" s="1"/>
  <c r="D55" i="5"/>
  <c r="E55" i="5" s="1"/>
  <c r="G54" i="5"/>
  <c r="H54" i="5"/>
  <c r="G44" i="43"/>
  <c r="H53" i="22"/>
  <c r="G53" i="22"/>
  <c r="D54" i="22"/>
  <c r="E54" i="22"/>
  <c r="H45" i="42"/>
  <c r="I45" i="42" s="1"/>
  <c r="G51" i="24"/>
  <c r="D52" i="24"/>
  <c r="E52" i="24" s="1"/>
  <c r="H51" i="24"/>
  <c r="G55" i="6"/>
  <c r="H55" i="6"/>
  <c r="D56" i="6"/>
  <c r="E56" i="6" s="1"/>
  <c r="G46" i="39"/>
  <c r="G57" i="7"/>
  <c r="D58" i="7"/>
  <c r="E58" i="7" s="1"/>
  <c r="H57" i="7"/>
  <c r="D46" i="40"/>
  <c r="E46" i="40"/>
  <c r="H45" i="41"/>
  <c r="I56" i="9"/>
  <c r="G58" i="10"/>
  <c r="H58" i="10"/>
  <c r="D59" i="10"/>
  <c r="E59" i="10" s="1"/>
  <c r="G46" i="38"/>
  <c r="I46" i="38" s="1"/>
  <c r="D48" i="37"/>
  <c r="E48" i="37" s="1"/>
  <c r="H45" i="40"/>
  <c r="I45" i="40" s="1"/>
  <c r="H55" i="8"/>
  <c r="G55" i="8"/>
  <c r="D56" i="8"/>
  <c r="E56" i="8"/>
  <c r="F57" i="9"/>
  <c r="B57" i="9"/>
  <c r="H49" i="31"/>
  <c r="G49" i="31"/>
  <c r="D50" i="31"/>
  <c r="E50" i="31" s="1"/>
  <c r="J127" i="13"/>
  <c r="G128" i="13"/>
  <c r="D129" i="13"/>
  <c r="E129" i="13" s="1"/>
  <c r="I46" i="49" l="1"/>
  <c r="G134" i="48"/>
  <c r="D135" i="48"/>
  <c r="B135" i="48" s="1"/>
  <c r="E135" i="48"/>
  <c r="F135" i="48" s="1"/>
  <c r="I133" i="49"/>
  <c r="H133" i="49"/>
  <c r="E134" i="49"/>
  <c r="F134" i="49"/>
  <c r="B134" i="49"/>
  <c r="F45" i="48"/>
  <c r="H45" i="48" s="1"/>
  <c r="B45" i="48"/>
  <c r="G45" i="48"/>
  <c r="F45" i="47"/>
  <c r="H45" i="47" s="1"/>
  <c r="B45" i="47"/>
  <c r="G45" i="47"/>
  <c r="F47" i="49"/>
  <c r="D48" i="49" s="1"/>
  <c r="B47" i="49"/>
  <c r="G46" i="13"/>
  <c r="D47" i="13"/>
  <c r="H46" i="13"/>
  <c r="I53" i="25"/>
  <c r="I48" i="30"/>
  <c r="E47" i="44"/>
  <c r="F47" i="44" s="1"/>
  <c r="B47" i="44"/>
  <c r="I46" i="44"/>
  <c r="I55" i="8"/>
  <c r="B51" i="27"/>
  <c r="E51" i="27"/>
  <c r="F51" i="27" s="1"/>
  <c r="I49" i="31"/>
  <c r="I52" i="23"/>
  <c r="I45" i="41"/>
  <c r="I57" i="7"/>
  <c r="I53" i="22"/>
  <c r="I49" i="29"/>
  <c r="I49" i="28"/>
  <c r="I50" i="27"/>
  <c r="D47" i="46"/>
  <c r="E47" i="46" s="1"/>
  <c r="H46" i="46"/>
  <c r="G46" i="46"/>
  <c r="F50" i="31"/>
  <c r="B50" i="31"/>
  <c r="I58" i="10"/>
  <c r="F46" i="41"/>
  <c r="G46" i="41" s="1"/>
  <c r="B46" i="41"/>
  <c r="F45" i="43"/>
  <c r="G45" i="43" s="1"/>
  <c r="B45" i="43"/>
  <c r="F54" i="25"/>
  <c r="B54" i="25"/>
  <c r="F49" i="30"/>
  <c r="B49" i="30"/>
  <c r="B56" i="8"/>
  <c r="F56" i="8"/>
  <c r="I46" i="39"/>
  <c r="B57" i="11"/>
  <c r="F57" i="11"/>
  <c r="B47" i="38"/>
  <c r="F47" i="38"/>
  <c r="B53" i="23"/>
  <c r="F53" i="23"/>
  <c r="B55" i="3"/>
  <c r="F55" i="3"/>
  <c r="F47" i="45"/>
  <c r="H47" i="45" s="1"/>
  <c r="B47" i="45"/>
  <c r="F59" i="10"/>
  <c r="B59" i="10"/>
  <c r="B58" i="7"/>
  <c r="F58" i="7"/>
  <c r="F56" i="6"/>
  <c r="B56" i="6"/>
  <c r="I51" i="24"/>
  <c r="F55" i="5"/>
  <c r="B55" i="5"/>
  <c r="I54" i="4"/>
  <c r="I44" i="43"/>
  <c r="F47" i="39"/>
  <c r="H47" i="39" s="1"/>
  <c r="B47" i="39"/>
  <c r="I54" i="3"/>
  <c r="F50" i="28"/>
  <c r="B50" i="28"/>
  <c r="G57" i="9"/>
  <c r="H57" i="9"/>
  <c r="D58" i="9"/>
  <c r="E58" i="9" s="1"/>
  <c r="F48" i="37"/>
  <c r="G48" i="37" s="1"/>
  <c r="B48" i="37"/>
  <c r="B46" i="40"/>
  <c r="F46" i="40"/>
  <c r="I55" i="6"/>
  <c r="B52" i="24"/>
  <c r="F52" i="24"/>
  <c r="B54" i="22"/>
  <c r="F54" i="22"/>
  <c r="B55" i="4"/>
  <c r="F55" i="4"/>
  <c r="I56" i="11"/>
  <c r="B46" i="42"/>
  <c r="F46" i="42"/>
  <c r="H46" i="42" s="1"/>
  <c r="F50" i="29"/>
  <c r="B50" i="29"/>
  <c r="I46" i="45"/>
  <c r="F129" i="13"/>
  <c r="B129" i="13"/>
  <c r="H128" i="13"/>
  <c r="I128" i="13"/>
  <c r="H47" i="49" l="1"/>
  <c r="I45" i="48"/>
  <c r="I46" i="13"/>
  <c r="I45" i="47"/>
  <c r="G47" i="49"/>
  <c r="D135" i="49"/>
  <c r="B135" i="49" s="1"/>
  <c r="G134" i="49"/>
  <c r="E135" i="49"/>
  <c r="F135" i="49" s="1"/>
  <c r="D136" i="48"/>
  <c r="G135" i="48"/>
  <c r="I134" i="48"/>
  <c r="H134" i="48"/>
  <c r="I47" i="49"/>
  <c r="E48" i="49"/>
  <c r="F48" i="49"/>
  <c r="D49" i="49" s="1"/>
  <c r="B48" i="49"/>
  <c r="D46" i="47"/>
  <c r="E46" i="47"/>
  <c r="D46" i="48"/>
  <c r="E46" i="48"/>
  <c r="E47" i="13"/>
  <c r="F47" i="13" s="1"/>
  <c r="H47" i="13" s="1"/>
  <c r="B47" i="13"/>
  <c r="H47" i="44"/>
  <c r="G47" i="44"/>
  <c r="D48" i="44"/>
  <c r="D52" i="27"/>
  <c r="G51" i="27"/>
  <c r="E52" i="27"/>
  <c r="H51" i="27"/>
  <c r="H46" i="41"/>
  <c r="I46" i="41" s="1"/>
  <c r="H55" i="4"/>
  <c r="G55" i="4"/>
  <c r="D56" i="4"/>
  <c r="E56" i="4" s="1"/>
  <c r="H52" i="24"/>
  <c r="G52" i="24"/>
  <c r="D53" i="24"/>
  <c r="E53" i="24" s="1"/>
  <c r="D47" i="40"/>
  <c r="E47" i="40"/>
  <c r="D48" i="38"/>
  <c r="E48" i="38" s="1"/>
  <c r="D47" i="42"/>
  <c r="E47" i="42"/>
  <c r="G46" i="40"/>
  <c r="D48" i="45"/>
  <c r="E48" i="45" s="1"/>
  <c r="D54" i="23"/>
  <c r="E54" i="23" s="1"/>
  <c r="G53" i="23"/>
  <c r="H53" i="23"/>
  <c r="H47" i="38"/>
  <c r="D50" i="30"/>
  <c r="E50" i="30" s="1"/>
  <c r="G49" i="30"/>
  <c r="H49" i="30"/>
  <c r="I46" i="46"/>
  <c r="G50" i="29"/>
  <c r="H50" i="29"/>
  <c r="D51" i="29"/>
  <c r="E51" i="29"/>
  <c r="G54" i="22"/>
  <c r="H54" i="22"/>
  <c r="D55" i="22"/>
  <c r="E55" i="22"/>
  <c r="D49" i="37"/>
  <c r="E49" i="37"/>
  <c r="F58" i="9"/>
  <c r="B58" i="9"/>
  <c r="G50" i="28"/>
  <c r="D51" i="28"/>
  <c r="H50" i="28"/>
  <c r="E51" i="28"/>
  <c r="D48" i="39"/>
  <c r="E48" i="39"/>
  <c r="H56" i="6"/>
  <c r="G56" i="6"/>
  <c r="D57" i="6"/>
  <c r="E57" i="6"/>
  <c r="D60" i="10"/>
  <c r="E60" i="10" s="1"/>
  <c r="G59" i="10"/>
  <c r="H59" i="10"/>
  <c r="G47" i="45"/>
  <c r="I47" i="45" s="1"/>
  <c r="D57" i="8"/>
  <c r="E57" i="8" s="1"/>
  <c r="G56" i="8"/>
  <c r="H56" i="8"/>
  <c r="D46" i="43"/>
  <c r="E46" i="43" s="1"/>
  <c r="G46" i="42"/>
  <c r="I46" i="42" s="1"/>
  <c r="H46" i="40"/>
  <c r="H48" i="37"/>
  <c r="I48" i="37" s="1"/>
  <c r="I57" i="9"/>
  <c r="G47" i="39"/>
  <c r="I47" i="39" s="1"/>
  <c r="D56" i="5"/>
  <c r="E56" i="5" s="1"/>
  <c r="G55" i="5"/>
  <c r="H55" i="5"/>
  <c r="D59" i="7"/>
  <c r="E59" i="7" s="1"/>
  <c r="G58" i="7"/>
  <c r="H58" i="7"/>
  <c r="G55" i="3"/>
  <c r="H55" i="3"/>
  <c r="D56" i="3"/>
  <c r="E56" i="3" s="1"/>
  <c r="G47" i="38"/>
  <c r="D58" i="11"/>
  <c r="E58" i="11" s="1"/>
  <c r="G57" i="11"/>
  <c r="H57" i="11"/>
  <c r="H54" i="25"/>
  <c r="D55" i="25"/>
  <c r="G54" i="25"/>
  <c r="E55" i="25"/>
  <c r="H45" i="43"/>
  <c r="I45" i="43" s="1"/>
  <c r="D47" i="41"/>
  <c r="E47" i="41" s="1"/>
  <c r="D51" i="31"/>
  <c r="E51" i="31" s="1"/>
  <c r="G50" i="31"/>
  <c r="H50" i="31"/>
  <c r="F47" i="46"/>
  <c r="H47" i="46" s="1"/>
  <c r="B47" i="46"/>
  <c r="J128" i="13"/>
  <c r="G129" i="13"/>
  <c r="D130" i="13"/>
  <c r="E130" i="13" s="1"/>
  <c r="E136" i="48" l="1"/>
  <c r="F136" i="48"/>
  <c r="B136" i="48"/>
  <c r="D136" i="49"/>
  <c r="B136" i="49" s="1"/>
  <c r="G135" i="49"/>
  <c r="I134" i="49"/>
  <c r="H134" i="49"/>
  <c r="H135" i="48"/>
  <c r="I135" i="48"/>
  <c r="F46" i="47"/>
  <c r="G46" i="47" s="1"/>
  <c r="B46" i="47"/>
  <c r="H46" i="47"/>
  <c r="E49" i="49"/>
  <c r="F49" i="49"/>
  <c r="D50" i="49" s="1"/>
  <c r="B49" i="49"/>
  <c r="H48" i="49"/>
  <c r="B46" i="48"/>
  <c r="F46" i="48"/>
  <c r="G48" i="49"/>
  <c r="G47" i="13"/>
  <c r="I47" i="13" s="1"/>
  <c r="D48" i="13"/>
  <c r="I47" i="44"/>
  <c r="E48" i="44"/>
  <c r="F48" i="44" s="1"/>
  <c r="B48" i="44"/>
  <c r="I49" i="30"/>
  <c r="I51" i="27"/>
  <c r="I54" i="22"/>
  <c r="I50" i="29"/>
  <c r="I59" i="10"/>
  <c r="I50" i="31"/>
  <c r="I58" i="7"/>
  <c r="I46" i="40"/>
  <c r="B52" i="27"/>
  <c r="F52" i="27"/>
  <c r="G47" i="46"/>
  <c r="I47" i="46" s="1"/>
  <c r="I57" i="11"/>
  <c r="I56" i="8"/>
  <c r="F51" i="28"/>
  <c r="B51" i="28"/>
  <c r="F47" i="42"/>
  <c r="G47" i="42" s="1"/>
  <c r="B47" i="42"/>
  <c r="B53" i="24"/>
  <c r="F53" i="24"/>
  <c r="B56" i="4"/>
  <c r="F56" i="4"/>
  <c r="B47" i="41"/>
  <c r="F47" i="41"/>
  <c r="H47" i="41" s="1"/>
  <c r="B55" i="25"/>
  <c r="F55" i="25"/>
  <c r="F56" i="3"/>
  <c r="B56" i="3"/>
  <c r="F57" i="6"/>
  <c r="B57" i="6"/>
  <c r="B48" i="39"/>
  <c r="F48" i="39"/>
  <c r="H48" i="39" s="1"/>
  <c r="F49" i="37"/>
  <c r="H49" i="37" s="1"/>
  <c r="B49" i="37"/>
  <c r="I53" i="23"/>
  <c r="F48" i="45"/>
  <c r="G48" i="45" s="1"/>
  <c r="B48" i="45"/>
  <c r="I54" i="25"/>
  <c r="F58" i="11"/>
  <c r="B58" i="11"/>
  <c r="I55" i="3"/>
  <c r="F46" i="43"/>
  <c r="G46" i="43" s="1"/>
  <c r="B46" i="43"/>
  <c r="B57" i="8"/>
  <c r="F57" i="8"/>
  <c r="B50" i="30"/>
  <c r="F50" i="30"/>
  <c r="F48" i="38"/>
  <c r="H48" i="38" s="1"/>
  <c r="B48" i="38"/>
  <c r="F47" i="40"/>
  <c r="G47" i="40" s="1"/>
  <c r="B47" i="40"/>
  <c r="I52" i="24"/>
  <c r="I55" i="4"/>
  <c r="D48" i="46"/>
  <c r="E48" i="46" s="1"/>
  <c r="B51" i="31"/>
  <c r="F51" i="31"/>
  <c r="B59" i="7"/>
  <c r="F59" i="7"/>
  <c r="B56" i="5"/>
  <c r="F56" i="5"/>
  <c r="B60" i="10"/>
  <c r="F60" i="10"/>
  <c r="I56" i="6"/>
  <c r="I50" i="28"/>
  <c r="G58" i="9"/>
  <c r="E59" i="9"/>
  <c r="H58" i="9"/>
  <c r="D59" i="9"/>
  <c r="B55" i="22"/>
  <c r="F55" i="22"/>
  <c r="B51" i="29"/>
  <c r="F51" i="29"/>
  <c r="I47" i="38"/>
  <c r="F54" i="23"/>
  <c r="B54" i="23"/>
  <c r="B130" i="13"/>
  <c r="F130" i="13"/>
  <c r="H129" i="13"/>
  <c r="I129" i="13"/>
  <c r="I46" i="47" l="1"/>
  <c r="E136" i="49"/>
  <c r="F136" i="49" s="1"/>
  <c r="G136" i="48"/>
  <c r="D137" i="48"/>
  <c r="B137" i="48" s="1"/>
  <c r="H135" i="49"/>
  <c r="I135" i="49"/>
  <c r="E50" i="49"/>
  <c r="F50" i="49"/>
  <c r="H50" i="49" s="1"/>
  <c r="B50" i="49"/>
  <c r="H49" i="49"/>
  <c r="H46" i="48"/>
  <c r="D47" i="48"/>
  <c r="E47" i="48"/>
  <c r="I48" i="49"/>
  <c r="G49" i="49"/>
  <c r="G46" i="48"/>
  <c r="E47" i="47"/>
  <c r="D47" i="47"/>
  <c r="E48" i="13"/>
  <c r="F48" i="13" s="1"/>
  <c r="H48" i="13" s="1"/>
  <c r="B48" i="13"/>
  <c r="G48" i="44"/>
  <c r="D49" i="44"/>
  <c r="H48" i="44"/>
  <c r="I58" i="9"/>
  <c r="H47" i="40"/>
  <c r="I47" i="40" s="1"/>
  <c r="G48" i="39"/>
  <c r="I48" i="39" s="1"/>
  <c r="G47" i="41"/>
  <c r="I47" i="41" s="1"/>
  <c r="D53" i="27"/>
  <c r="H52" i="27"/>
  <c r="E53" i="27"/>
  <c r="G52" i="27"/>
  <c r="D47" i="43"/>
  <c r="E47" i="43"/>
  <c r="D50" i="37"/>
  <c r="E50" i="37"/>
  <c r="H55" i="25"/>
  <c r="G55" i="25"/>
  <c r="D56" i="25"/>
  <c r="E56" i="25"/>
  <c r="H53" i="24"/>
  <c r="D54" i="24"/>
  <c r="G53" i="24"/>
  <c r="E54" i="24"/>
  <c r="H54" i="23"/>
  <c r="D55" i="23"/>
  <c r="G54" i="23"/>
  <c r="E55" i="23"/>
  <c r="H60" i="10"/>
  <c r="G60" i="10"/>
  <c r="D61" i="10"/>
  <c r="E61" i="10" s="1"/>
  <c r="H59" i="7"/>
  <c r="D60" i="7"/>
  <c r="G59" i="7"/>
  <c r="E60" i="7"/>
  <c r="G50" i="30"/>
  <c r="H50" i="30"/>
  <c r="D51" i="30"/>
  <c r="E51" i="30"/>
  <c r="D48" i="42"/>
  <c r="E48" i="42"/>
  <c r="G55" i="22"/>
  <c r="H55" i="22"/>
  <c r="D56" i="22"/>
  <c r="E56" i="22"/>
  <c r="F48" i="46"/>
  <c r="B48" i="46"/>
  <c r="D49" i="38"/>
  <c r="E49" i="38" s="1"/>
  <c r="D49" i="45"/>
  <c r="D49" i="39"/>
  <c r="E49" i="39"/>
  <c r="G56" i="4"/>
  <c r="H56" i="4"/>
  <c r="D57" i="4"/>
  <c r="E57" i="4"/>
  <c r="H51" i="29"/>
  <c r="D52" i="29"/>
  <c r="G51" i="29"/>
  <c r="E52" i="29"/>
  <c r="F59" i="9"/>
  <c r="B59" i="9"/>
  <c r="H56" i="5"/>
  <c r="D57" i="5"/>
  <c r="G56" i="5"/>
  <c r="E57" i="5"/>
  <c r="H51" i="31"/>
  <c r="D52" i="31"/>
  <c r="G51" i="31"/>
  <c r="E52" i="31"/>
  <c r="D48" i="40"/>
  <c r="E48" i="40" s="1"/>
  <c r="G48" i="38"/>
  <c r="I48" i="38" s="1"/>
  <c r="G57" i="8"/>
  <c r="D58" i="8"/>
  <c r="E58" i="8" s="1"/>
  <c r="H57" i="8"/>
  <c r="H46" i="43"/>
  <c r="I46" i="43" s="1"/>
  <c r="G58" i="11"/>
  <c r="H58" i="11"/>
  <c r="D59" i="11"/>
  <c r="E59" i="11"/>
  <c r="H48" i="45"/>
  <c r="I48" i="45" s="1"/>
  <c r="G49" i="37"/>
  <c r="I49" i="37" s="1"/>
  <c r="H57" i="6"/>
  <c r="D58" i="6"/>
  <c r="E58" i="6" s="1"/>
  <c r="G57" i="6"/>
  <c r="H56" i="3"/>
  <c r="G56" i="3"/>
  <c r="D57" i="3"/>
  <c r="E57" i="3" s="1"/>
  <c r="D48" i="41"/>
  <c r="E48" i="41"/>
  <c r="H47" i="42"/>
  <c r="I47" i="42" s="1"/>
  <c r="H51" i="28"/>
  <c r="D52" i="28"/>
  <c r="G51" i="28"/>
  <c r="E52" i="28"/>
  <c r="J129" i="13"/>
  <c r="G130" i="13"/>
  <c r="D131" i="13"/>
  <c r="I46" i="48" l="1"/>
  <c r="E137" i="48"/>
  <c r="F137" i="48" s="1"/>
  <c r="D138" i="48" s="1"/>
  <c r="G50" i="49"/>
  <c r="I50" i="49" s="1"/>
  <c r="G137" i="48"/>
  <c r="I136" i="48"/>
  <c r="H136" i="48"/>
  <c r="G136" i="49"/>
  <c r="D137" i="49"/>
  <c r="B137" i="49" s="1"/>
  <c r="F47" i="48"/>
  <c r="H47" i="48" s="1"/>
  <c r="B47" i="48"/>
  <c r="B47" i="47"/>
  <c r="F47" i="47"/>
  <c r="H47" i="47" s="1"/>
  <c r="G47" i="47"/>
  <c r="I49" i="49"/>
  <c r="E51" i="49"/>
  <c r="D51" i="49"/>
  <c r="G48" i="13"/>
  <c r="I48" i="13" s="1"/>
  <c r="D49" i="13"/>
  <c r="I48" i="44"/>
  <c r="E49" i="44"/>
  <c r="F49" i="44" s="1"/>
  <c r="B49" i="44"/>
  <c r="I56" i="4"/>
  <c r="I52" i="27"/>
  <c r="I59" i="7"/>
  <c r="F53" i="27"/>
  <c r="B53" i="27"/>
  <c r="I55" i="22"/>
  <c r="I50" i="30"/>
  <c r="F57" i="3"/>
  <c r="B57" i="3"/>
  <c r="F58" i="8"/>
  <c r="B58" i="8"/>
  <c r="F48" i="40"/>
  <c r="G48" i="40" s="1"/>
  <c r="B48" i="40"/>
  <c r="I51" i="31"/>
  <c r="B51" i="30"/>
  <c r="F51" i="30"/>
  <c r="F47" i="43"/>
  <c r="B47" i="43"/>
  <c r="B58" i="6"/>
  <c r="F58" i="6"/>
  <c r="B57" i="4"/>
  <c r="F57" i="4"/>
  <c r="F49" i="39"/>
  <c r="B49" i="39"/>
  <c r="B49" i="38"/>
  <c r="F49" i="38"/>
  <c r="H49" i="38" s="1"/>
  <c r="D49" i="46"/>
  <c r="B56" i="22"/>
  <c r="F56" i="22"/>
  <c r="F48" i="42"/>
  <c r="B48" i="42"/>
  <c r="F60" i="7"/>
  <c r="B60" i="7"/>
  <c r="B61" i="10"/>
  <c r="F61" i="10"/>
  <c r="B56" i="25"/>
  <c r="F56" i="25"/>
  <c r="F52" i="28"/>
  <c r="B52" i="28"/>
  <c r="B48" i="41"/>
  <c r="F48" i="41"/>
  <c r="H48" i="41" s="1"/>
  <c r="I56" i="3"/>
  <c r="I57" i="6"/>
  <c r="B59" i="11"/>
  <c r="F59" i="11"/>
  <c r="F52" i="29"/>
  <c r="B52" i="29"/>
  <c r="B49" i="45"/>
  <c r="G48" i="46"/>
  <c r="B55" i="23"/>
  <c r="F55" i="23"/>
  <c r="F54" i="24"/>
  <c r="B54" i="24"/>
  <c r="F50" i="37"/>
  <c r="H50" i="37" s="1"/>
  <c r="B50" i="37"/>
  <c r="I51" i="28"/>
  <c r="I58" i="11"/>
  <c r="I57" i="8"/>
  <c r="F52" i="31"/>
  <c r="B52" i="31"/>
  <c r="F57" i="5"/>
  <c r="B57" i="5"/>
  <c r="D60" i="9"/>
  <c r="E60" i="9" s="1"/>
  <c r="G59" i="9"/>
  <c r="H59" i="9"/>
  <c r="I51" i="29"/>
  <c r="E49" i="45"/>
  <c r="F49" i="45" s="1"/>
  <c r="H48" i="46"/>
  <c r="I60" i="10"/>
  <c r="I54" i="23"/>
  <c r="I53" i="24"/>
  <c r="I55" i="25"/>
  <c r="H130" i="13"/>
  <c r="I130" i="13"/>
  <c r="B131" i="13"/>
  <c r="E131" i="13"/>
  <c r="F131" i="13" s="1"/>
  <c r="G47" i="48" l="1"/>
  <c r="I47" i="48" s="1"/>
  <c r="E137" i="49"/>
  <c r="F137" i="49" s="1"/>
  <c r="E138" i="48"/>
  <c r="F138" i="48"/>
  <c r="B138" i="48"/>
  <c r="I136" i="49"/>
  <c r="H136" i="49"/>
  <c r="I137" i="48"/>
  <c r="H137" i="48"/>
  <c r="B51" i="49"/>
  <c r="F51" i="49"/>
  <c r="G51" i="49" s="1"/>
  <c r="I47" i="47"/>
  <c r="E48" i="47"/>
  <c r="D48" i="47"/>
  <c r="E48" i="48"/>
  <c r="D48" i="48"/>
  <c r="E49" i="13"/>
  <c r="F49" i="13" s="1"/>
  <c r="B49" i="13"/>
  <c r="H49" i="44"/>
  <c r="D50" i="44"/>
  <c r="G49" i="44"/>
  <c r="G49" i="38"/>
  <c r="I49" i="38" s="1"/>
  <c r="H48" i="40"/>
  <c r="I48" i="40" s="1"/>
  <c r="G50" i="37"/>
  <c r="I50" i="37" s="1"/>
  <c r="I59" i="9"/>
  <c r="I48" i="46"/>
  <c r="G53" i="27"/>
  <c r="H53" i="27"/>
  <c r="D54" i="27"/>
  <c r="D50" i="45"/>
  <c r="E50" i="45" s="1"/>
  <c r="H49" i="45"/>
  <c r="G49" i="45"/>
  <c r="F60" i="9"/>
  <c r="B60" i="9"/>
  <c r="D53" i="31"/>
  <c r="E53" i="31" s="1"/>
  <c r="G52" i="31"/>
  <c r="H52" i="31"/>
  <c r="H52" i="29"/>
  <c r="G52" i="29"/>
  <c r="D53" i="29"/>
  <c r="E53" i="29"/>
  <c r="H60" i="7"/>
  <c r="D61" i="7"/>
  <c r="E61" i="7" s="1"/>
  <c r="G60" i="7"/>
  <c r="D49" i="42"/>
  <c r="E49" i="42" s="1"/>
  <c r="B49" i="46"/>
  <c r="D50" i="39"/>
  <c r="E50" i="39"/>
  <c r="D48" i="43"/>
  <c r="E48" i="43"/>
  <c r="G54" i="24"/>
  <c r="D55" i="24"/>
  <c r="H54" i="24"/>
  <c r="E55" i="24"/>
  <c r="H59" i="11"/>
  <c r="D60" i="11"/>
  <c r="E60" i="11" s="1"/>
  <c r="G59" i="11"/>
  <c r="H61" i="10"/>
  <c r="D62" i="10"/>
  <c r="E62" i="10" s="1"/>
  <c r="G61" i="10"/>
  <c r="H56" i="22"/>
  <c r="D57" i="22"/>
  <c r="E57" i="22" s="1"/>
  <c r="G56" i="22"/>
  <c r="H49" i="39"/>
  <c r="G57" i="4"/>
  <c r="H57" i="4"/>
  <c r="D58" i="4"/>
  <c r="E58" i="4"/>
  <c r="H47" i="43"/>
  <c r="G51" i="30"/>
  <c r="D52" i="30"/>
  <c r="H51" i="30"/>
  <c r="E52" i="30"/>
  <c r="D59" i="8"/>
  <c r="E59" i="8" s="1"/>
  <c r="G58" i="8"/>
  <c r="H58" i="8"/>
  <c r="H57" i="5"/>
  <c r="D58" i="5"/>
  <c r="E58" i="5" s="1"/>
  <c r="G57" i="5"/>
  <c r="G55" i="23"/>
  <c r="H55" i="23"/>
  <c r="D56" i="23"/>
  <c r="E56" i="23"/>
  <c r="D49" i="41"/>
  <c r="E49" i="41"/>
  <c r="D53" i="28"/>
  <c r="G52" i="28"/>
  <c r="H52" i="28"/>
  <c r="E53" i="28"/>
  <c r="G48" i="42"/>
  <c r="G49" i="39"/>
  <c r="D51" i="37"/>
  <c r="E51" i="37" s="1"/>
  <c r="G48" i="41"/>
  <c r="I48" i="41" s="1"/>
  <c r="D57" i="25"/>
  <c r="E57" i="25" s="1"/>
  <c r="G56" i="25"/>
  <c r="H56" i="25"/>
  <c r="H48" i="42"/>
  <c r="E49" i="46"/>
  <c r="F49" i="46" s="1"/>
  <c r="D50" i="38"/>
  <c r="E50" i="38"/>
  <c r="D59" i="6"/>
  <c r="E59" i="6" s="1"/>
  <c r="H58" i="6"/>
  <c r="G58" i="6"/>
  <c r="G47" i="43"/>
  <c r="D49" i="40"/>
  <c r="E49" i="40"/>
  <c r="G57" i="3"/>
  <c r="H57" i="3"/>
  <c r="D58" i="3"/>
  <c r="E58" i="3" s="1"/>
  <c r="J130" i="13"/>
  <c r="J155" i="13" s="1"/>
  <c r="G131" i="13"/>
  <c r="D132" i="13"/>
  <c r="D139" i="48" l="1"/>
  <c r="G138" i="48"/>
  <c r="G137" i="49"/>
  <c r="E138" i="49"/>
  <c r="D138" i="49"/>
  <c r="B48" i="47"/>
  <c r="F48" i="47"/>
  <c r="G48" i="47"/>
  <c r="H51" i="49"/>
  <c r="I51" i="49" s="1"/>
  <c r="E52" i="49"/>
  <c r="D52" i="49"/>
  <c r="F48" i="48"/>
  <c r="G48" i="48" s="1"/>
  <c r="B48" i="48"/>
  <c r="G49" i="13"/>
  <c r="D50" i="13"/>
  <c r="H49" i="13"/>
  <c r="I53" i="27"/>
  <c r="I49" i="44"/>
  <c r="E50" i="44"/>
  <c r="F50" i="44" s="1"/>
  <c r="B50" i="44"/>
  <c r="I57" i="4"/>
  <c r="I48" i="42"/>
  <c r="I61" i="10"/>
  <c r="I52" i="29"/>
  <c r="I57" i="3"/>
  <c r="I56" i="25"/>
  <c r="I58" i="8"/>
  <c r="I55" i="23"/>
  <c r="I60" i="7"/>
  <c r="B54" i="27"/>
  <c r="I49" i="45"/>
  <c r="I51" i="30"/>
  <c r="I56" i="22"/>
  <c r="I59" i="11"/>
  <c r="E54" i="27"/>
  <c r="F54" i="27" s="1"/>
  <c r="D50" i="46"/>
  <c r="E50" i="46" s="1"/>
  <c r="G49" i="46"/>
  <c r="H49" i="46"/>
  <c r="B59" i="6"/>
  <c r="F59" i="6"/>
  <c r="B57" i="25"/>
  <c r="F57" i="25"/>
  <c r="F53" i="28"/>
  <c r="B53" i="28"/>
  <c r="F56" i="23"/>
  <c r="B56" i="23"/>
  <c r="B52" i="30"/>
  <c r="F52" i="30"/>
  <c r="F58" i="4"/>
  <c r="B58" i="4"/>
  <c r="B55" i="24"/>
  <c r="F55" i="24"/>
  <c r="B61" i="7"/>
  <c r="F61" i="7"/>
  <c r="B59" i="8"/>
  <c r="F59" i="8"/>
  <c r="F48" i="43"/>
  <c r="H48" i="43" s="1"/>
  <c r="B48" i="43"/>
  <c r="F49" i="42"/>
  <c r="B49" i="42"/>
  <c r="B53" i="31"/>
  <c r="F53" i="31"/>
  <c r="B50" i="38"/>
  <c r="F50" i="38"/>
  <c r="G50" i="38" s="1"/>
  <c r="F51" i="37"/>
  <c r="H51" i="37" s="1"/>
  <c r="B51" i="37"/>
  <c r="I52" i="28"/>
  <c r="F49" i="41"/>
  <c r="G49" i="41" s="1"/>
  <c r="B49" i="41"/>
  <c r="B58" i="5"/>
  <c r="F58" i="5"/>
  <c r="I47" i="43"/>
  <c r="F57" i="22"/>
  <c r="B57" i="22"/>
  <c r="B62" i="10"/>
  <c r="F62" i="10"/>
  <c r="F58" i="3"/>
  <c r="B58" i="3"/>
  <c r="B49" i="40"/>
  <c r="F49" i="40"/>
  <c r="G49" i="40" s="1"/>
  <c r="I58" i="6"/>
  <c r="I49" i="39"/>
  <c r="F60" i="11"/>
  <c r="B60" i="11"/>
  <c r="I54" i="24"/>
  <c r="F50" i="39"/>
  <c r="H50" i="39" s="1"/>
  <c r="B50" i="39"/>
  <c r="F53" i="29"/>
  <c r="B53" i="29"/>
  <c r="I52" i="31"/>
  <c r="D61" i="9"/>
  <c r="E61" i="9" s="1"/>
  <c r="G60" i="9"/>
  <c r="H60" i="9"/>
  <c r="B50" i="45"/>
  <c r="F50" i="45"/>
  <c r="H50" i="45" s="1"/>
  <c r="B132" i="13"/>
  <c r="I131" i="13"/>
  <c r="H131" i="13"/>
  <c r="E132" i="13"/>
  <c r="F132" i="13" s="1"/>
  <c r="H137" i="49" l="1"/>
  <c r="I137" i="49"/>
  <c r="H138" i="48"/>
  <c r="I138" i="48"/>
  <c r="F138" i="49"/>
  <c r="B138" i="49"/>
  <c r="E139" i="48"/>
  <c r="F139" i="48"/>
  <c r="B139" i="48"/>
  <c r="F52" i="49"/>
  <c r="B52" i="49"/>
  <c r="E49" i="47"/>
  <c r="D49" i="47"/>
  <c r="H48" i="47"/>
  <c r="I48" i="47" s="1"/>
  <c r="H48" i="48"/>
  <c r="I48" i="48" s="1"/>
  <c r="D49" i="48"/>
  <c r="E49" i="48"/>
  <c r="I49" i="13"/>
  <c r="E50" i="13"/>
  <c r="F50" i="13" s="1"/>
  <c r="B50" i="13"/>
  <c r="H50" i="44"/>
  <c r="D51" i="44"/>
  <c r="G50" i="44"/>
  <c r="I49" i="46"/>
  <c r="G51" i="37"/>
  <c r="I51" i="37" s="1"/>
  <c r="G50" i="45"/>
  <c r="I50" i="45" s="1"/>
  <c r="D55" i="27"/>
  <c r="G54" i="27"/>
  <c r="H54" i="27"/>
  <c r="H49" i="40"/>
  <c r="I49" i="40" s="1"/>
  <c r="H49" i="41"/>
  <c r="I49" i="41" s="1"/>
  <c r="G53" i="29"/>
  <c r="H53" i="29"/>
  <c r="D54" i="29"/>
  <c r="E54" i="29"/>
  <c r="D51" i="39"/>
  <c r="E51" i="39"/>
  <c r="G62" i="10"/>
  <c r="D63" i="10"/>
  <c r="E63" i="10" s="1"/>
  <c r="H62" i="10"/>
  <c r="G53" i="31"/>
  <c r="H53" i="31"/>
  <c r="D54" i="31"/>
  <c r="E54" i="31" s="1"/>
  <c r="D50" i="42"/>
  <c r="E50" i="42"/>
  <c r="G61" i="7"/>
  <c r="H61" i="7"/>
  <c r="D62" i="7"/>
  <c r="E62" i="7" s="1"/>
  <c r="G57" i="25"/>
  <c r="H57" i="25"/>
  <c r="D58" i="25"/>
  <c r="E58" i="25" s="1"/>
  <c r="B61" i="9"/>
  <c r="F61" i="9"/>
  <c r="H58" i="5"/>
  <c r="D59" i="5"/>
  <c r="E59" i="5" s="1"/>
  <c r="G58" i="5"/>
  <c r="D51" i="38"/>
  <c r="E51" i="38" s="1"/>
  <c r="G49" i="42"/>
  <c r="D49" i="43"/>
  <c r="E49" i="43"/>
  <c r="D59" i="4"/>
  <c r="G58" i="4"/>
  <c r="H58" i="4"/>
  <c r="E59" i="4"/>
  <c r="G56" i="23"/>
  <c r="D57" i="23"/>
  <c r="H56" i="23"/>
  <c r="E57" i="23"/>
  <c r="I60" i="9"/>
  <c r="D50" i="40"/>
  <c r="E50" i="40" s="1"/>
  <c r="D50" i="41"/>
  <c r="E50" i="41" s="1"/>
  <c r="H50" i="38"/>
  <c r="I50" i="38" s="1"/>
  <c r="H49" i="42"/>
  <c r="D60" i="8"/>
  <c r="G59" i="8"/>
  <c r="H59" i="8"/>
  <c r="E60" i="8"/>
  <c r="G55" i="24"/>
  <c r="H55" i="24"/>
  <c r="D56" i="24"/>
  <c r="E56" i="24" s="1"/>
  <c r="D53" i="30"/>
  <c r="H52" i="30"/>
  <c r="G52" i="30"/>
  <c r="E53" i="30"/>
  <c r="G59" i="6"/>
  <c r="H59" i="6"/>
  <c r="D60" i="6"/>
  <c r="E60" i="6" s="1"/>
  <c r="D51" i="45"/>
  <c r="E51" i="45" s="1"/>
  <c r="G50" i="39"/>
  <c r="I50" i="39" s="1"/>
  <c r="H60" i="11"/>
  <c r="D61" i="11"/>
  <c r="E61" i="11" s="1"/>
  <c r="G60" i="11"/>
  <c r="H58" i="3"/>
  <c r="D59" i="3"/>
  <c r="G58" i="3"/>
  <c r="E59" i="3"/>
  <c r="H57" i="22"/>
  <c r="D58" i="22"/>
  <c r="E58" i="22" s="1"/>
  <c r="G57" i="22"/>
  <c r="D52" i="37"/>
  <c r="E52" i="37" s="1"/>
  <c r="G48" i="43"/>
  <c r="I48" i="43" s="1"/>
  <c r="H53" i="28"/>
  <c r="D54" i="28"/>
  <c r="E54" i="28" s="1"/>
  <c r="G53" i="28"/>
  <c r="F50" i="46"/>
  <c r="B50" i="46"/>
  <c r="D133" i="13"/>
  <c r="E133" i="13" s="1"/>
  <c r="G132" i="13"/>
  <c r="D140" i="48" l="1"/>
  <c r="B140" i="48" s="1"/>
  <c r="G139" i="48"/>
  <c r="E140" i="48"/>
  <c r="F140" i="48" s="1"/>
  <c r="G138" i="49"/>
  <c r="D139" i="49"/>
  <c r="B49" i="47"/>
  <c r="F49" i="47"/>
  <c r="H49" i="47" s="1"/>
  <c r="G49" i="47"/>
  <c r="E53" i="49"/>
  <c r="D53" i="49"/>
  <c r="F49" i="48"/>
  <c r="B49" i="48"/>
  <c r="H52" i="49"/>
  <c r="G52" i="49"/>
  <c r="D51" i="13"/>
  <c r="H50" i="13"/>
  <c r="G50" i="13"/>
  <c r="I59" i="6"/>
  <c r="I53" i="29"/>
  <c r="E51" i="44"/>
  <c r="F51" i="44" s="1"/>
  <c r="B51" i="44"/>
  <c r="I54" i="27"/>
  <c r="I50" i="44"/>
  <c r="I52" i="30"/>
  <c r="I49" i="42"/>
  <c r="I58" i="4"/>
  <c r="I55" i="24"/>
  <c r="I59" i="8"/>
  <c r="I57" i="25"/>
  <c r="I61" i="7"/>
  <c r="I58" i="3"/>
  <c r="I60" i="11"/>
  <c r="B55" i="27"/>
  <c r="E55" i="27"/>
  <c r="F55" i="27" s="1"/>
  <c r="B60" i="8"/>
  <c r="F60" i="8"/>
  <c r="F50" i="41"/>
  <c r="H50" i="41" s="1"/>
  <c r="B50" i="41"/>
  <c r="B59" i="4"/>
  <c r="F59" i="4"/>
  <c r="F49" i="43"/>
  <c r="H49" i="43" s="1"/>
  <c r="B49" i="43"/>
  <c r="F58" i="25"/>
  <c r="B58" i="25"/>
  <c r="F62" i="7"/>
  <c r="B62" i="7"/>
  <c r="B50" i="42"/>
  <c r="F50" i="42"/>
  <c r="H50" i="42" s="1"/>
  <c r="B54" i="29"/>
  <c r="F54" i="29"/>
  <c r="D51" i="46"/>
  <c r="E51" i="46" s="1"/>
  <c r="F54" i="28"/>
  <c r="B54" i="28"/>
  <c r="F52" i="37"/>
  <c r="G52" i="37" s="1"/>
  <c r="B52" i="37"/>
  <c r="B58" i="22"/>
  <c r="F58" i="22"/>
  <c r="F60" i="6"/>
  <c r="B60" i="6"/>
  <c r="B56" i="24"/>
  <c r="F56" i="24"/>
  <c r="H61" i="9"/>
  <c r="D62" i="9"/>
  <c r="E62" i="9" s="1"/>
  <c r="G61" i="9"/>
  <c r="H50" i="46"/>
  <c r="I53" i="28"/>
  <c r="I57" i="22"/>
  <c r="F50" i="40"/>
  <c r="H50" i="40" s="1"/>
  <c r="B50" i="40"/>
  <c r="I56" i="23"/>
  <c r="F59" i="5"/>
  <c r="B59" i="5"/>
  <c r="B54" i="31"/>
  <c r="F54" i="31"/>
  <c r="I62" i="10"/>
  <c r="B51" i="39"/>
  <c r="F51" i="39"/>
  <c r="G50" i="46"/>
  <c r="F59" i="3"/>
  <c r="B59" i="3"/>
  <c r="F61" i="11"/>
  <c r="B61" i="11"/>
  <c r="F51" i="45"/>
  <c r="G51" i="45" s="1"/>
  <c r="B51" i="45"/>
  <c r="F53" i="30"/>
  <c r="B53" i="30"/>
  <c r="F57" i="23"/>
  <c r="B57" i="23"/>
  <c r="F51" i="38"/>
  <c r="G51" i="38" s="1"/>
  <c r="B51" i="38"/>
  <c r="I53" i="31"/>
  <c r="F63" i="10"/>
  <c r="B63" i="10"/>
  <c r="B133" i="13"/>
  <c r="F133" i="13"/>
  <c r="I132" i="13"/>
  <c r="H132" i="13"/>
  <c r="I52" i="49" l="1"/>
  <c r="I49" i="47"/>
  <c r="I138" i="49"/>
  <c r="H138" i="49"/>
  <c r="H139" i="48"/>
  <c r="I139" i="48"/>
  <c r="D141" i="48"/>
  <c r="G140" i="48"/>
  <c r="E139" i="49"/>
  <c r="F139" i="49" s="1"/>
  <c r="B139" i="49"/>
  <c r="E50" i="48"/>
  <c r="D50" i="48"/>
  <c r="H49" i="48"/>
  <c r="B53" i="49"/>
  <c r="F53" i="49"/>
  <c r="H53" i="49"/>
  <c r="G53" i="49"/>
  <c r="E50" i="47"/>
  <c r="D50" i="47"/>
  <c r="G49" i="48"/>
  <c r="I50" i="13"/>
  <c r="E51" i="13"/>
  <c r="F51" i="13" s="1"/>
  <c r="B51" i="13"/>
  <c r="H51" i="44"/>
  <c r="G51" i="44"/>
  <c r="D52" i="44"/>
  <c r="H51" i="45"/>
  <c r="I51" i="45" s="1"/>
  <c r="H52" i="37"/>
  <c r="I52" i="37" s="1"/>
  <c r="G50" i="40"/>
  <c r="I50" i="40" s="1"/>
  <c r="H55" i="27"/>
  <c r="D56" i="27"/>
  <c r="E56" i="27" s="1"/>
  <c r="G55" i="27"/>
  <c r="I61" i="9"/>
  <c r="H57" i="23"/>
  <c r="D58" i="23"/>
  <c r="G57" i="23"/>
  <c r="E58" i="23"/>
  <c r="G61" i="11"/>
  <c r="D62" i="11"/>
  <c r="E62" i="11" s="1"/>
  <c r="H61" i="11"/>
  <c r="G59" i="4"/>
  <c r="D60" i="4"/>
  <c r="E60" i="4" s="1"/>
  <c r="H59" i="4"/>
  <c r="H63" i="10"/>
  <c r="G63" i="10"/>
  <c r="D64" i="10"/>
  <c r="E64" i="10" s="1"/>
  <c r="D52" i="39"/>
  <c r="E52" i="39" s="1"/>
  <c r="G59" i="5"/>
  <c r="D60" i="5"/>
  <c r="E60" i="5" s="1"/>
  <c r="H59" i="5"/>
  <c r="I50" i="46"/>
  <c r="H60" i="6"/>
  <c r="D61" i="6"/>
  <c r="E61" i="6" s="1"/>
  <c r="G60" i="6"/>
  <c r="G54" i="28"/>
  <c r="D55" i="28"/>
  <c r="E55" i="28" s="1"/>
  <c r="H54" i="28"/>
  <c r="F51" i="46"/>
  <c r="B51" i="46"/>
  <c r="D51" i="42"/>
  <c r="E51" i="42"/>
  <c r="H62" i="7"/>
  <c r="D63" i="7"/>
  <c r="E63" i="7" s="1"/>
  <c r="G62" i="7"/>
  <c r="D51" i="41"/>
  <c r="E51" i="41"/>
  <c r="D52" i="38"/>
  <c r="E52" i="38"/>
  <c r="H51" i="38"/>
  <c r="I51" i="38" s="1"/>
  <c r="H53" i="30"/>
  <c r="G53" i="30"/>
  <c r="D54" i="30"/>
  <c r="E54" i="30"/>
  <c r="D52" i="45"/>
  <c r="E52" i="45" s="1"/>
  <c r="G59" i="3"/>
  <c r="D60" i="3"/>
  <c r="H59" i="3"/>
  <c r="E60" i="3"/>
  <c r="G51" i="39"/>
  <c r="G54" i="31"/>
  <c r="D55" i="31"/>
  <c r="E55" i="31" s="1"/>
  <c r="H54" i="31"/>
  <c r="D51" i="40"/>
  <c r="E51" i="40"/>
  <c r="G56" i="24"/>
  <c r="D57" i="24"/>
  <c r="H56" i="24"/>
  <c r="E57" i="24"/>
  <c r="G58" i="22"/>
  <c r="H58" i="22"/>
  <c r="D59" i="22"/>
  <c r="E59" i="22"/>
  <c r="D55" i="29"/>
  <c r="E55" i="29" s="1"/>
  <c r="G54" i="29"/>
  <c r="H54" i="29"/>
  <c r="D50" i="43"/>
  <c r="E50" i="43" s="1"/>
  <c r="D61" i="8"/>
  <c r="E61" i="8" s="1"/>
  <c r="G60" i="8"/>
  <c r="H60" i="8"/>
  <c r="H51" i="39"/>
  <c r="B62" i="9"/>
  <c r="F62" i="9"/>
  <c r="D53" i="37"/>
  <c r="E53" i="37" s="1"/>
  <c r="G50" i="42"/>
  <c r="I50" i="42" s="1"/>
  <c r="H58" i="25"/>
  <c r="D59" i="25"/>
  <c r="E59" i="25" s="1"/>
  <c r="G58" i="25"/>
  <c r="G49" i="43"/>
  <c r="I49" i="43" s="1"/>
  <c r="G50" i="41"/>
  <c r="I50" i="41" s="1"/>
  <c r="G133" i="13"/>
  <c r="D134" i="13"/>
  <c r="I49" i="48" l="1"/>
  <c r="D140" i="49"/>
  <c r="B140" i="49" s="1"/>
  <c r="G139" i="49"/>
  <c r="E140" i="49"/>
  <c r="F140" i="49" s="1"/>
  <c r="I140" i="48"/>
  <c r="H140" i="48"/>
  <c r="E141" i="48"/>
  <c r="F141" i="48" s="1"/>
  <c r="B141" i="48"/>
  <c r="I53" i="49"/>
  <c r="F50" i="48"/>
  <c r="H50" i="48"/>
  <c r="B50" i="48"/>
  <c r="B50" i="47"/>
  <c r="F50" i="47"/>
  <c r="H50" i="47"/>
  <c r="E54" i="49"/>
  <c r="D54" i="49"/>
  <c r="G51" i="13"/>
  <c r="D52" i="13"/>
  <c r="H51" i="13"/>
  <c r="E52" i="44"/>
  <c r="F52" i="44" s="1"/>
  <c r="B52" i="44"/>
  <c r="I51" i="44"/>
  <c r="I56" i="24"/>
  <c r="I60" i="6"/>
  <c r="I61" i="11"/>
  <c r="I55" i="27"/>
  <c r="I51" i="39"/>
  <c r="I60" i="8"/>
  <c r="I54" i="31"/>
  <c r="I53" i="30"/>
  <c r="I59" i="3"/>
  <c r="I63" i="10"/>
  <c r="B56" i="27"/>
  <c r="F56" i="27"/>
  <c r="I58" i="25"/>
  <c r="B54" i="30"/>
  <c r="F54" i="30"/>
  <c r="D52" i="46"/>
  <c r="F55" i="28"/>
  <c r="B55" i="28"/>
  <c r="F61" i="6"/>
  <c r="B61" i="6"/>
  <c r="B60" i="4"/>
  <c r="F60" i="4"/>
  <c r="H62" i="9"/>
  <c r="D63" i="9"/>
  <c r="E63" i="9" s="1"/>
  <c r="G62" i="9"/>
  <c r="F61" i="8"/>
  <c r="B61" i="8"/>
  <c r="I54" i="29"/>
  <c r="F52" i="38"/>
  <c r="H52" i="38" s="1"/>
  <c r="B52" i="38"/>
  <c r="F51" i="42"/>
  <c r="G51" i="42" s="1"/>
  <c r="B51" i="42"/>
  <c r="G51" i="46"/>
  <c r="F64" i="10"/>
  <c r="B64" i="10"/>
  <c r="B59" i="22"/>
  <c r="F59" i="22"/>
  <c r="F51" i="40"/>
  <c r="G51" i="40" s="1"/>
  <c r="B51" i="40"/>
  <c r="F55" i="31"/>
  <c r="B55" i="31"/>
  <c r="F52" i="45"/>
  <c r="G52" i="45" s="1"/>
  <c r="B52" i="45"/>
  <c r="F63" i="7"/>
  <c r="B63" i="7"/>
  <c r="B52" i="39"/>
  <c r="F52" i="39"/>
  <c r="H52" i="39" s="1"/>
  <c r="F62" i="11"/>
  <c r="B62" i="11"/>
  <c r="F58" i="23"/>
  <c r="B58" i="23"/>
  <c r="B59" i="25"/>
  <c r="F59" i="25"/>
  <c r="B53" i="37"/>
  <c r="F53" i="37"/>
  <c r="H53" i="37" s="1"/>
  <c r="F50" i="43"/>
  <c r="G50" i="43" s="1"/>
  <c r="B50" i="43"/>
  <c r="B55" i="29"/>
  <c r="F55" i="29"/>
  <c r="I58" i="22"/>
  <c r="B57" i="24"/>
  <c r="F57" i="24"/>
  <c r="F60" i="3"/>
  <c r="B60" i="3"/>
  <c r="F51" i="41"/>
  <c r="G51" i="41" s="1"/>
  <c r="B51" i="41"/>
  <c r="I62" i="7"/>
  <c r="H51" i="46"/>
  <c r="I54" i="28"/>
  <c r="F60" i="5"/>
  <c r="B60" i="5"/>
  <c r="I59" i="4"/>
  <c r="I57" i="23"/>
  <c r="B134" i="13"/>
  <c r="E134" i="13"/>
  <c r="F134" i="13" s="1"/>
  <c r="H133" i="13"/>
  <c r="I133" i="13"/>
  <c r="G140" i="49" l="1"/>
  <c r="D141" i="49"/>
  <c r="D142" i="48"/>
  <c r="G141" i="48"/>
  <c r="H139" i="49"/>
  <c r="I139" i="49"/>
  <c r="F54" i="49"/>
  <c r="G54" i="49" s="1"/>
  <c r="B54" i="49"/>
  <c r="E51" i="47"/>
  <c r="D51" i="47"/>
  <c r="D51" i="48"/>
  <c r="E51" i="48"/>
  <c r="G50" i="47"/>
  <c r="I50" i="47" s="1"/>
  <c r="G50" i="48"/>
  <c r="I50" i="48" s="1"/>
  <c r="I51" i="13"/>
  <c r="B52" i="13"/>
  <c r="E52" i="13"/>
  <c r="F52" i="13" s="1"/>
  <c r="D53" i="44"/>
  <c r="G52" i="44"/>
  <c r="H52" i="44"/>
  <c r="H50" i="43"/>
  <c r="I50" i="43" s="1"/>
  <c r="I51" i="46"/>
  <c r="H51" i="40"/>
  <c r="I51" i="40" s="1"/>
  <c r="G53" i="37"/>
  <c r="I53" i="37" s="1"/>
  <c r="G52" i="39"/>
  <c r="I52" i="39" s="1"/>
  <c r="H52" i="45"/>
  <c r="I52" i="45" s="1"/>
  <c r="D57" i="27"/>
  <c r="H56" i="27"/>
  <c r="G56" i="27"/>
  <c r="H60" i="3"/>
  <c r="D61" i="3"/>
  <c r="E61" i="3" s="1"/>
  <c r="G60" i="3"/>
  <c r="D63" i="11"/>
  <c r="E63" i="11" s="1"/>
  <c r="G62" i="11"/>
  <c r="H62" i="11"/>
  <c r="D56" i="31"/>
  <c r="E56" i="31" s="1"/>
  <c r="G55" i="31"/>
  <c r="H55" i="31"/>
  <c r="D52" i="40"/>
  <c r="E52" i="40" s="1"/>
  <c r="D65" i="10"/>
  <c r="G64" i="10"/>
  <c r="H64" i="10"/>
  <c r="G52" i="38"/>
  <c r="I52" i="38" s="1"/>
  <c r="G61" i="8"/>
  <c r="D62" i="8"/>
  <c r="E62" i="8" s="1"/>
  <c r="H61" i="8"/>
  <c r="I62" i="9"/>
  <c r="G61" i="6"/>
  <c r="D62" i="6"/>
  <c r="E62" i="6" s="1"/>
  <c r="H61" i="6"/>
  <c r="B52" i="46"/>
  <c r="D52" i="41"/>
  <c r="E52" i="41" s="1"/>
  <c r="H55" i="29"/>
  <c r="D56" i="29"/>
  <c r="E56" i="29" s="1"/>
  <c r="G55" i="29"/>
  <c r="D60" i="22"/>
  <c r="E60" i="22" s="1"/>
  <c r="H59" i="22"/>
  <c r="G59" i="22"/>
  <c r="D52" i="42"/>
  <c r="E52" i="42"/>
  <c r="D61" i="4"/>
  <c r="E61" i="4" s="1"/>
  <c r="G60" i="4"/>
  <c r="H60" i="4"/>
  <c r="G54" i="30"/>
  <c r="D55" i="30"/>
  <c r="E55" i="30" s="1"/>
  <c r="H54" i="30"/>
  <c r="G60" i="5"/>
  <c r="D61" i="5"/>
  <c r="E61" i="5" s="1"/>
  <c r="H60" i="5"/>
  <c r="H51" i="41"/>
  <c r="I51" i="41" s="1"/>
  <c r="G57" i="24"/>
  <c r="D58" i="24"/>
  <c r="E58" i="24" s="1"/>
  <c r="H57" i="24"/>
  <c r="D51" i="43"/>
  <c r="E51" i="43"/>
  <c r="D59" i="23"/>
  <c r="G58" i="23"/>
  <c r="H58" i="23"/>
  <c r="E59" i="23"/>
  <c r="D53" i="39"/>
  <c r="E53" i="39" s="1"/>
  <c r="H63" i="7"/>
  <c r="G63" i="7"/>
  <c r="D64" i="7"/>
  <c r="E64" i="7" s="1"/>
  <c r="D53" i="45"/>
  <c r="E53" i="45" s="1"/>
  <c r="H55" i="28"/>
  <c r="G55" i="28"/>
  <c r="D56" i="28"/>
  <c r="E56" i="28" s="1"/>
  <c r="D54" i="37"/>
  <c r="E54" i="37"/>
  <c r="G59" i="25"/>
  <c r="H59" i="25"/>
  <c r="D60" i="25"/>
  <c r="E60" i="25"/>
  <c r="H51" i="42"/>
  <c r="I51" i="42" s="1"/>
  <c r="D53" i="38"/>
  <c r="E53" i="38" s="1"/>
  <c r="B63" i="9"/>
  <c r="F63" i="9"/>
  <c r="E52" i="46"/>
  <c r="F52" i="46" s="1"/>
  <c r="D135" i="13"/>
  <c r="G134" i="13"/>
  <c r="H54" i="49" l="1"/>
  <c r="I54" i="49" s="1"/>
  <c r="I141" i="48"/>
  <c r="H141" i="48"/>
  <c r="E142" i="48"/>
  <c r="F142" i="48" s="1"/>
  <c r="B142" i="48"/>
  <c r="E141" i="49"/>
  <c r="F141" i="49" s="1"/>
  <c r="B141" i="49"/>
  <c r="I140" i="49"/>
  <c r="H140" i="49"/>
  <c r="F51" i="48"/>
  <c r="H51" i="48" s="1"/>
  <c r="B51" i="48"/>
  <c r="G51" i="48"/>
  <c r="B51" i="47"/>
  <c r="F51" i="47"/>
  <c r="H51" i="47" s="1"/>
  <c r="G51" i="47"/>
  <c r="D55" i="49"/>
  <c r="E55" i="49"/>
  <c r="G52" i="13"/>
  <c r="D53" i="13"/>
  <c r="H52" i="13"/>
  <c r="I52" i="44"/>
  <c r="B53" i="44"/>
  <c r="E53" i="44"/>
  <c r="F53" i="44" s="1"/>
  <c r="I61" i="8"/>
  <c r="I56" i="27"/>
  <c r="I54" i="30"/>
  <c r="I57" i="24"/>
  <c r="I61" i="6"/>
  <c r="B57" i="27"/>
  <c r="E57" i="27"/>
  <c r="F57" i="27" s="1"/>
  <c r="I55" i="28"/>
  <c r="I60" i="4"/>
  <c r="I55" i="31"/>
  <c r="D53" i="46"/>
  <c r="E53" i="46" s="1"/>
  <c r="H52" i="46"/>
  <c r="G52" i="46"/>
  <c r="F60" i="25"/>
  <c r="B60" i="25"/>
  <c r="B54" i="37"/>
  <c r="F54" i="37"/>
  <c r="G54" i="37" s="1"/>
  <c r="F52" i="42"/>
  <c r="H52" i="42" s="1"/>
  <c r="B52" i="42"/>
  <c r="F60" i="22"/>
  <c r="B60" i="22"/>
  <c r="I55" i="29"/>
  <c r="B65" i="10"/>
  <c r="I62" i="11"/>
  <c r="B53" i="38"/>
  <c r="F53" i="38"/>
  <c r="G53" i="38" s="1"/>
  <c r="I59" i="25"/>
  <c r="F64" i="7"/>
  <c r="B64" i="7"/>
  <c r="B53" i="39"/>
  <c r="F53" i="39"/>
  <c r="G53" i="39" s="1"/>
  <c r="B59" i="23"/>
  <c r="F59" i="23"/>
  <c r="B62" i="6"/>
  <c r="F62" i="6"/>
  <c r="I64" i="10"/>
  <c r="B61" i="3"/>
  <c r="F61" i="3"/>
  <c r="D64" i="9"/>
  <c r="E64" i="9" s="1"/>
  <c r="G63" i="9"/>
  <c r="H63" i="9"/>
  <c r="B56" i="28"/>
  <c r="F56" i="28"/>
  <c r="B58" i="24"/>
  <c r="F58" i="24"/>
  <c r="F61" i="4"/>
  <c r="B61" i="4"/>
  <c r="F52" i="41"/>
  <c r="H52" i="41" s="1"/>
  <c r="B52" i="41"/>
  <c r="B62" i="8"/>
  <c r="F62" i="8"/>
  <c r="B52" i="40"/>
  <c r="F52" i="40"/>
  <c r="G52" i="40" s="1"/>
  <c r="F56" i="31"/>
  <c r="B56" i="31"/>
  <c r="B63" i="11"/>
  <c r="F63" i="11"/>
  <c r="I60" i="3"/>
  <c r="B53" i="45"/>
  <c r="F53" i="45"/>
  <c r="G53" i="45" s="1"/>
  <c r="I63" i="7"/>
  <c r="I58" i="23"/>
  <c r="B51" i="43"/>
  <c r="F51" i="43"/>
  <c r="H51" i="43" s="1"/>
  <c r="B61" i="5"/>
  <c r="F61" i="5"/>
  <c r="B55" i="30"/>
  <c r="F55" i="30"/>
  <c r="I59" i="22"/>
  <c r="B56" i="29"/>
  <c r="F56" i="29"/>
  <c r="E65" i="10"/>
  <c r="F65" i="10" s="1"/>
  <c r="B135" i="13"/>
  <c r="I134" i="13"/>
  <c r="H134" i="13"/>
  <c r="E135" i="13"/>
  <c r="F135" i="13" s="1"/>
  <c r="I51" i="47" l="1"/>
  <c r="I51" i="48"/>
  <c r="G142" i="48"/>
  <c r="D143" i="48"/>
  <c r="G141" i="49"/>
  <c r="D142" i="49"/>
  <c r="E52" i="47"/>
  <c r="D52" i="47"/>
  <c r="F55" i="49"/>
  <c r="H55" i="49" s="1"/>
  <c r="B55" i="49"/>
  <c r="E52" i="48"/>
  <c r="D52" i="48"/>
  <c r="I52" i="13"/>
  <c r="E53" i="13"/>
  <c r="F53" i="13" s="1"/>
  <c r="B53" i="13"/>
  <c r="G52" i="41"/>
  <c r="I52" i="41" s="1"/>
  <c r="D54" i="44"/>
  <c r="H53" i="44"/>
  <c r="G53" i="44"/>
  <c r="I52" i="46"/>
  <c r="G51" i="43"/>
  <c r="I51" i="43" s="1"/>
  <c r="I63" i="9"/>
  <c r="D58" i="27"/>
  <c r="E58" i="27" s="1"/>
  <c r="G57" i="27"/>
  <c r="H57" i="27"/>
  <c r="H53" i="45"/>
  <c r="I53" i="45" s="1"/>
  <c r="H53" i="39"/>
  <c r="I53" i="39" s="1"/>
  <c r="G52" i="42"/>
  <c r="I52" i="42" s="1"/>
  <c r="H54" i="37"/>
  <c r="I54" i="37" s="1"/>
  <c r="D66" i="10"/>
  <c r="E66" i="10" s="1"/>
  <c r="G65" i="10"/>
  <c r="H65" i="10"/>
  <c r="G56" i="29"/>
  <c r="H56" i="29"/>
  <c r="D57" i="29"/>
  <c r="E57" i="29" s="1"/>
  <c r="D53" i="40"/>
  <c r="E53" i="40" s="1"/>
  <c r="G59" i="23"/>
  <c r="H59" i="23"/>
  <c r="D60" i="23"/>
  <c r="E60" i="23" s="1"/>
  <c r="D61" i="22"/>
  <c r="E61" i="22" s="1"/>
  <c r="G60" i="22"/>
  <c r="H60" i="22"/>
  <c r="D62" i="5"/>
  <c r="E62" i="5" s="1"/>
  <c r="G61" i="5"/>
  <c r="H61" i="5"/>
  <c r="H56" i="28"/>
  <c r="D57" i="28"/>
  <c r="E57" i="28" s="1"/>
  <c r="G56" i="28"/>
  <c r="D54" i="38"/>
  <c r="E54" i="38"/>
  <c r="H56" i="31"/>
  <c r="D57" i="31"/>
  <c r="E57" i="31" s="1"/>
  <c r="G56" i="31"/>
  <c r="H61" i="4"/>
  <c r="D62" i="4"/>
  <c r="E62" i="4" s="1"/>
  <c r="G61" i="4"/>
  <c r="F64" i="9"/>
  <c r="B64" i="9"/>
  <c r="G62" i="6"/>
  <c r="D63" i="6"/>
  <c r="E63" i="6" s="1"/>
  <c r="H62" i="6"/>
  <c r="D54" i="39"/>
  <c r="E54" i="39"/>
  <c r="H60" i="25"/>
  <c r="D61" i="25"/>
  <c r="E61" i="25" s="1"/>
  <c r="G60" i="25"/>
  <c r="D56" i="30"/>
  <c r="E56" i="30" s="1"/>
  <c r="H55" i="30"/>
  <c r="G55" i="30"/>
  <c r="D52" i="43"/>
  <c r="E52" i="43" s="1"/>
  <c r="D54" i="45"/>
  <c r="E54" i="45" s="1"/>
  <c r="G63" i="11"/>
  <c r="H63" i="11"/>
  <c r="D64" i="11"/>
  <c r="E64" i="11" s="1"/>
  <c r="H52" i="40"/>
  <c r="I52" i="40" s="1"/>
  <c r="H62" i="8"/>
  <c r="D63" i="8"/>
  <c r="E63" i="8" s="1"/>
  <c r="G62" i="8"/>
  <c r="D53" i="41"/>
  <c r="E53" i="41"/>
  <c r="G58" i="24"/>
  <c r="D59" i="24"/>
  <c r="H58" i="24"/>
  <c r="E59" i="24"/>
  <c r="H61" i="3"/>
  <c r="D62" i="3"/>
  <c r="E62" i="3" s="1"/>
  <c r="G61" i="3"/>
  <c r="H64" i="7"/>
  <c r="D65" i="7"/>
  <c r="G64" i="7"/>
  <c r="H53" i="38"/>
  <c r="I53" i="38" s="1"/>
  <c r="D53" i="42"/>
  <c r="E53" i="42"/>
  <c r="D55" i="37"/>
  <c r="E55" i="37"/>
  <c r="F53" i="46"/>
  <c r="B53" i="46"/>
  <c r="G135" i="13"/>
  <c r="D136" i="13"/>
  <c r="G55" i="49" l="1"/>
  <c r="H141" i="49"/>
  <c r="I141" i="49"/>
  <c r="E143" i="48"/>
  <c r="F143" i="48" s="1"/>
  <c r="B143" i="48"/>
  <c r="E142" i="49"/>
  <c r="F142" i="49" s="1"/>
  <c r="B142" i="49"/>
  <c r="I142" i="48"/>
  <c r="H142" i="48"/>
  <c r="F52" i="47"/>
  <c r="G52" i="47" s="1"/>
  <c r="B52" i="47"/>
  <c r="B52" i="48"/>
  <c r="F52" i="48"/>
  <c r="G52" i="48" s="1"/>
  <c r="E56" i="49"/>
  <c r="D56" i="49"/>
  <c r="I55" i="49"/>
  <c r="H53" i="13"/>
  <c r="G53" i="13"/>
  <c r="D54" i="13"/>
  <c r="I60" i="22"/>
  <c r="I53" i="44"/>
  <c r="E54" i="44"/>
  <c r="F54" i="44" s="1"/>
  <c r="B54" i="44"/>
  <c r="I58" i="24"/>
  <c r="I62" i="6"/>
  <c r="I62" i="8"/>
  <c r="I56" i="31"/>
  <c r="I56" i="28"/>
  <c r="I61" i="4"/>
  <c r="I60" i="25"/>
  <c r="F58" i="27"/>
  <c r="B58" i="27"/>
  <c r="I63" i="11"/>
  <c r="I55" i="30"/>
  <c r="I65" i="10"/>
  <c r="I57" i="27"/>
  <c r="D54" i="46"/>
  <c r="B65" i="7"/>
  <c r="F62" i="3"/>
  <c r="B62" i="3"/>
  <c r="F59" i="24"/>
  <c r="B59" i="24"/>
  <c r="F52" i="43"/>
  <c r="H52" i="43" s="1"/>
  <c r="B52" i="43"/>
  <c r="B56" i="30"/>
  <c r="F56" i="30"/>
  <c r="G64" i="9"/>
  <c r="H64" i="9"/>
  <c r="D65" i="9"/>
  <c r="F54" i="38"/>
  <c r="G54" i="38" s="1"/>
  <c r="B54" i="38"/>
  <c r="B57" i="28"/>
  <c r="F57" i="28"/>
  <c r="I59" i="23"/>
  <c r="F53" i="42"/>
  <c r="B53" i="42"/>
  <c r="G53" i="46"/>
  <c r="I64" i="7"/>
  <c r="I61" i="3"/>
  <c r="F63" i="6"/>
  <c r="B63" i="6"/>
  <c r="F62" i="5"/>
  <c r="B62" i="5"/>
  <c r="F61" i="22"/>
  <c r="B61" i="22"/>
  <c r="F57" i="29"/>
  <c r="B57" i="29"/>
  <c r="H53" i="46"/>
  <c r="B55" i="37"/>
  <c r="F55" i="37"/>
  <c r="H55" i="37" s="1"/>
  <c r="E65" i="7"/>
  <c r="F65" i="7" s="1"/>
  <c r="F63" i="8"/>
  <c r="B63" i="8"/>
  <c r="B64" i="11"/>
  <c r="F64" i="11"/>
  <c r="F54" i="45"/>
  <c r="G54" i="45" s="1"/>
  <c r="B54" i="45"/>
  <c r="B54" i="39"/>
  <c r="F54" i="39"/>
  <c r="G54" i="39" s="1"/>
  <c r="I56" i="29"/>
  <c r="F53" i="41"/>
  <c r="B53" i="41"/>
  <c r="F61" i="25"/>
  <c r="B61" i="25"/>
  <c r="B62" i="4"/>
  <c r="F62" i="4"/>
  <c r="F57" i="31"/>
  <c r="B57" i="31"/>
  <c r="B60" i="23"/>
  <c r="F60" i="23"/>
  <c r="B53" i="40"/>
  <c r="F53" i="40"/>
  <c r="G53" i="40" s="1"/>
  <c r="B66" i="10"/>
  <c r="F66" i="10"/>
  <c r="B136" i="13"/>
  <c r="E136" i="13"/>
  <c r="F136" i="13" s="1"/>
  <c r="H135" i="13"/>
  <c r="I135" i="13"/>
  <c r="H52" i="47" l="1"/>
  <c r="I52" i="47" s="1"/>
  <c r="D144" i="48"/>
  <c r="G143" i="48"/>
  <c r="D143" i="49"/>
  <c r="G142" i="49"/>
  <c r="H52" i="48"/>
  <c r="I52" i="48" s="1"/>
  <c r="D53" i="48"/>
  <c r="E53" i="48"/>
  <c r="B56" i="49"/>
  <c r="F56" i="49"/>
  <c r="D57" i="49" s="1"/>
  <c r="G56" i="49"/>
  <c r="E53" i="47"/>
  <c r="D53" i="47"/>
  <c r="I53" i="13"/>
  <c r="E54" i="13"/>
  <c r="F54" i="13" s="1"/>
  <c r="B54" i="13"/>
  <c r="G54" i="44"/>
  <c r="H54" i="44"/>
  <c r="D55" i="44"/>
  <c r="G55" i="37"/>
  <c r="I55" i="37" s="1"/>
  <c r="I64" i="9"/>
  <c r="G52" i="43"/>
  <c r="I52" i="43" s="1"/>
  <c r="I53" i="46"/>
  <c r="H54" i="38"/>
  <c r="I54" i="38" s="1"/>
  <c r="H54" i="39"/>
  <c r="I54" i="39" s="1"/>
  <c r="D59" i="27"/>
  <c r="E59" i="27" s="1"/>
  <c r="G58" i="27"/>
  <c r="H58" i="27"/>
  <c r="D66" i="7"/>
  <c r="E66" i="7" s="1"/>
  <c r="G65" i="7"/>
  <c r="H65" i="7"/>
  <c r="G57" i="31"/>
  <c r="D58" i="31"/>
  <c r="E58" i="31" s="1"/>
  <c r="H57" i="31"/>
  <c r="D62" i="25"/>
  <c r="E62" i="25" s="1"/>
  <c r="G61" i="25"/>
  <c r="H61" i="25"/>
  <c r="D54" i="41"/>
  <c r="E54" i="41"/>
  <c r="H61" i="22"/>
  <c r="D62" i="22"/>
  <c r="E62" i="22" s="1"/>
  <c r="G61" i="22"/>
  <c r="H63" i="6"/>
  <c r="G63" i="6"/>
  <c r="D64" i="6"/>
  <c r="E64" i="6" s="1"/>
  <c r="D54" i="42"/>
  <c r="E54" i="42" s="1"/>
  <c r="B65" i="9"/>
  <c r="G60" i="23"/>
  <c r="H60" i="23"/>
  <c r="D61" i="23"/>
  <c r="E61" i="23" s="1"/>
  <c r="G62" i="4"/>
  <c r="H62" i="4"/>
  <c r="D63" i="4"/>
  <c r="E63" i="4" s="1"/>
  <c r="E65" i="9"/>
  <c r="F65" i="9" s="1"/>
  <c r="H59" i="24"/>
  <c r="G59" i="24"/>
  <c r="D60" i="24"/>
  <c r="E60" i="24" s="1"/>
  <c r="D54" i="40"/>
  <c r="E54" i="40" s="1"/>
  <c r="G53" i="41"/>
  <c r="D55" i="45"/>
  <c r="E55" i="45" s="1"/>
  <c r="G63" i="8"/>
  <c r="H63" i="8"/>
  <c r="D64" i="8"/>
  <c r="E64" i="8" s="1"/>
  <c r="E56" i="37"/>
  <c r="D56" i="37"/>
  <c r="H57" i="29"/>
  <c r="D58" i="29"/>
  <c r="E58" i="29" s="1"/>
  <c r="G57" i="29"/>
  <c r="D63" i="5"/>
  <c r="E63" i="5" s="1"/>
  <c r="H62" i="5"/>
  <c r="G62" i="5"/>
  <c r="G53" i="42"/>
  <c r="G57" i="28"/>
  <c r="H57" i="28"/>
  <c r="D58" i="28"/>
  <c r="E58" i="28" s="1"/>
  <c r="G56" i="30"/>
  <c r="H56" i="30"/>
  <c r="D57" i="30"/>
  <c r="E57" i="30" s="1"/>
  <c r="B54" i="46"/>
  <c r="H66" i="10"/>
  <c r="D67" i="10"/>
  <c r="E67" i="10" s="1"/>
  <c r="G66" i="10"/>
  <c r="H53" i="40"/>
  <c r="I53" i="40" s="1"/>
  <c r="H53" i="41"/>
  <c r="D55" i="39"/>
  <c r="E55" i="39" s="1"/>
  <c r="H54" i="45"/>
  <c r="I54" i="45" s="1"/>
  <c r="G64" i="11"/>
  <c r="H64" i="11"/>
  <c r="D65" i="11"/>
  <c r="E65" i="11" s="1"/>
  <c r="H53" i="42"/>
  <c r="D55" i="38"/>
  <c r="E55" i="38"/>
  <c r="D53" i="43"/>
  <c r="E53" i="43"/>
  <c r="D63" i="3"/>
  <c r="E63" i="3" s="1"/>
  <c r="H62" i="3"/>
  <c r="G62" i="3"/>
  <c r="E54" i="46"/>
  <c r="F54" i="46" s="1"/>
  <c r="G136" i="13"/>
  <c r="D137" i="13"/>
  <c r="E143" i="49" l="1"/>
  <c r="F143" i="49" s="1"/>
  <c r="B143" i="49"/>
  <c r="I142" i="49"/>
  <c r="H142" i="49"/>
  <c r="I143" i="48"/>
  <c r="H143" i="48"/>
  <c r="E144" i="48"/>
  <c r="F144" i="48"/>
  <c r="B144" i="48"/>
  <c r="E57" i="49"/>
  <c r="F57" i="49" s="1"/>
  <c r="B57" i="49"/>
  <c r="B53" i="47"/>
  <c r="F53" i="47"/>
  <c r="H56" i="49"/>
  <c r="I56" i="49" s="1"/>
  <c r="F53" i="48"/>
  <c r="H53" i="48" s="1"/>
  <c r="B53" i="48"/>
  <c r="H54" i="13"/>
  <c r="D55" i="13"/>
  <c r="G54" i="13"/>
  <c r="I53" i="41"/>
  <c r="I54" i="44"/>
  <c r="E55" i="44"/>
  <c r="F55" i="44" s="1"/>
  <c r="B55" i="44"/>
  <c r="I62" i="4"/>
  <c r="I60" i="23"/>
  <c r="I53" i="42"/>
  <c r="I57" i="31"/>
  <c r="I65" i="7"/>
  <c r="I57" i="29"/>
  <c r="B59" i="27"/>
  <c r="F59" i="27"/>
  <c r="I56" i="30"/>
  <c r="I57" i="28"/>
  <c r="I63" i="6"/>
  <c r="I61" i="25"/>
  <c r="I58" i="27"/>
  <c r="G65" i="9"/>
  <c r="H65" i="9"/>
  <c r="D66" i="9"/>
  <c r="D55" i="46"/>
  <c r="G54" i="46"/>
  <c r="H54" i="46"/>
  <c r="I64" i="11"/>
  <c r="F55" i="39"/>
  <c r="B55" i="39"/>
  <c r="I66" i="10"/>
  <c r="F58" i="29"/>
  <c r="B58" i="29"/>
  <c r="F54" i="40"/>
  <c r="H54" i="40" s="1"/>
  <c r="B54" i="40"/>
  <c r="I59" i="24"/>
  <c r="F62" i="22"/>
  <c r="B62" i="22"/>
  <c r="B53" i="43"/>
  <c r="F53" i="43"/>
  <c r="H53" i="43" s="1"/>
  <c r="B63" i="5"/>
  <c r="F63" i="5"/>
  <c r="B64" i="8"/>
  <c r="F64" i="8"/>
  <c r="F55" i="45"/>
  <c r="B55" i="45"/>
  <c r="F54" i="42"/>
  <c r="G54" i="42" s="1"/>
  <c r="B54" i="42"/>
  <c r="I61" i="22"/>
  <c r="I62" i="3"/>
  <c r="F57" i="30"/>
  <c r="B57" i="30"/>
  <c r="B58" i="28"/>
  <c r="F58" i="28"/>
  <c r="B56" i="37"/>
  <c r="F56" i="37"/>
  <c r="G56" i="37" s="1"/>
  <c r="I63" i="8"/>
  <c r="B60" i="24"/>
  <c r="F60" i="24"/>
  <c r="F63" i="4"/>
  <c r="B63" i="4"/>
  <c r="F61" i="23"/>
  <c r="B61" i="23"/>
  <c r="B58" i="31"/>
  <c r="F58" i="31"/>
  <c r="B63" i="3"/>
  <c r="F63" i="3"/>
  <c r="B55" i="38"/>
  <c r="F55" i="38"/>
  <c r="G55" i="38" s="1"/>
  <c r="B65" i="11"/>
  <c r="F65" i="11"/>
  <c r="F67" i="10"/>
  <c r="B67" i="10"/>
  <c r="B64" i="6"/>
  <c r="F64" i="6"/>
  <c r="B54" i="41"/>
  <c r="F54" i="41"/>
  <c r="H54" i="41" s="1"/>
  <c r="B62" i="25"/>
  <c r="F62" i="25"/>
  <c r="F66" i="7"/>
  <c r="B66" i="7"/>
  <c r="B137" i="13"/>
  <c r="H136" i="13"/>
  <c r="I136" i="13"/>
  <c r="E137" i="13"/>
  <c r="F137" i="13" s="1"/>
  <c r="I54" i="13" l="1"/>
  <c r="G144" i="48"/>
  <c r="D145" i="48"/>
  <c r="G143" i="49"/>
  <c r="D144" i="49"/>
  <c r="D54" i="47"/>
  <c r="E54" i="47"/>
  <c r="E58" i="49"/>
  <c r="D58" i="49"/>
  <c r="H53" i="47"/>
  <c r="H57" i="49"/>
  <c r="G53" i="48"/>
  <c r="I53" i="48" s="1"/>
  <c r="D54" i="48"/>
  <c r="E54" i="48"/>
  <c r="G53" i="47"/>
  <c r="G57" i="49"/>
  <c r="E55" i="13"/>
  <c r="F55" i="13" s="1"/>
  <c r="B55" i="13"/>
  <c r="H55" i="44"/>
  <c r="D56" i="44"/>
  <c r="G55" i="44"/>
  <c r="I54" i="46"/>
  <c r="I65" i="9"/>
  <c r="G54" i="41"/>
  <c r="I54" i="41" s="1"/>
  <c r="H56" i="37"/>
  <c r="I56" i="37" s="1"/>
  <c r="H55" i="38"/>
  <c r="I55" i="38" s="1"/>
  <c r="G59" i="27"/>
  <c r="H59" i="27"/>
  <c r="D60" i="27"/>
  <c r="E60" i="27" s="1"/>
  <c r="H63" i="4"/>
  <c r="D64" i="4"/>
  <c r="G63" i="4"/>
  <c r="D56" i="45"/>
  <c r="E56" i="45" s="1"/>
  <c r="D56" i="39"/>
  <c r="E56" i="39" s="1"/>
  <c r="B66" i="9"/>
  <c r="D67" i="7"/>
  <c r="G66" i="7"/>
  <c r="H66" i="7"/>
  <c r="H62" i="25"/>
  <c r="D63" i="25"/>
  <c r="E63" i="25" s="1"/>
  <c r="G62" i="25"/>
  <c r="D56" i="38"/>
  <c r="E56" i="38" s="1"/>
  <c r="H63" i="3"/>
  <c r="G63" i="3"/>
  <c r="D64" i="3"/>
  <c r="E64" i="3" s="1"/>
  <c r="G57" i="30"/>
  <c r="D58" i="30"/>
  <c r="H57" i="30"/>
  <c r="E58" i="30"/>
  <c r="G55" i="45"/>
  <c r="H64" i="8"/>
  <c r="D65" i="8"/>
  <c r="G64" i="8"/>
  <c r="D59" i="29"/>
  <c r="G58" i="29"/>
  <c r="H58" i="29"/>
  <c r="E59" i="29"/>
  <c r="G55" i="39"/>
  <c r="E66" i="9"/>
  <c r="F66" i="9" s="1"/>
  <c r="G67" i="10"/>
  <c r="H67" i="10"/>
  <c r="D68" i="10"/>
  <c r="G61" i="23"/>
  <c r="H61" i="23"/>
  <c r="D62" i="23"/>
  <c r="E62" i="23" s="1"/>
  <c r="D57" i="37"/>
  <c r="E57" i="37" s="1"/>
  <c r="G58" i="28"/>
  <c r="H58" i="28"/>
  <c r="D59" i="28"/>
  <c r="E59" i="28" s="1"/>
  <c r="D55" i="42"/>
  <c r="E55" i="42" s="1"/>
  <c r="D54" i="43"/>
  <c r="E54" i="43" s="1"/>
  <c r="D63" i="22"/>
  <c r="E63" i="22" s="1"/>
  <c r="G62" i="22"/>
  <c r="H62" i="22"/>
  <c r="D55" i="40"/>
  <c r="E55" i="40" s="1"/>
  <c r="H55" i="39"/>
  <c r="B55" i="46"/>
  <c r="D55" i="41"/>
  <c r="E55" i="41" s="1"/>
  <c r="H64" i="6"/>
  <c r="D65" i="6"/>
  <c r="E65" i="6" s="1"/>
  <c r="G64" i="6"/>
  <c r="D66" i="11"/>
  <c r="E66" i="11" s="1"/>
  <c r="G65" i="11"/>
  <c r="H65" i="11"/>
  <c r="H58" i="31"/>
  <c r="G58" i="31"/>
  <c r="D59" i="31"/>
  <c r="E59" i="31" s="1"/>
  <c r="G60" i="24"/>
  <c r="D61" i="24"/>
  <c r="E61" i="24" s="1"/>
  <c r="H60" i="24"/>
  <c r="H54" i="42"/>
  <c r="I54" i="42" s="1"/>
  <c r="H55" i="45"/>
  <c r="D64" i="5"/>
  <c r="E64" i="5" s="1"/>
  <c r="G63" i="5"/>
  <c r="H63" i="5"/>
  <c r="G53" i="43"/>
  <c r="I53" i="43" s="1"/>
  <c r="G54" i="40"/>
  <c r="I54" i="40" s="1"/>
  <c r="E55" i="46"/>
  <c r="F55" i="46" s="1"/>
  <c r="G137" i="13"/>
  <c r="D138" i="13"/>
  <c r="I143" i="49" l="1"/>
  <c r="H143" i="49"/>
  <c r="E145" i="48"/>
  <c r="F145" i="48" s="1"/>
  <c r="B145" i="48"/>
  <c r="E144" i="49"/>
  <c r="F144" i="49" s="1"/>
  <c r="B144" i="49"/>
  <c r="H144" i="48"/>
  <c r="I144" i="48"/>
  <c r="I57" i="49"/>
  <c r="I53" i="47"/>
  <c r="F54" i="47"/>
  <c r="H54" i="47" s="1"/>
  <c r="B54" i="47"/>
  <c r="F54" i="48"/>
  <c r="H54" i="48" s="1"/>
  <c r="B54" i="48"/>
  <c r="H58" i="49"/>
  <c r="F58" i="49"/>
  <c r="G58" i="49" s="1"/>
  <c r="B58" i="49"/>
  <c r="G55" i="13"/>
  <c r="D56" i="13"/>
  <c r="H55" i="13"/>
  <c r="I55" i="44"/>
  <c r="E56" i="44"/>
  <c r="F56" i="44" s="1"/>
  <c r="B56" i="44"/>
  <c r="I61" i="23"/>
  <c r="I55" i="45"/>
  <c r="I60" i="24"/>
  <c r="I67" i="10"/>
  <c r="I59" i="27"/>
  <c r="I58" i="31"/>
  <c r="I63" i="3"/>
  <c r="I62" i="25"/>
  <c r="I58" i="28"/>
  <c r="I57" i="30"/>
  <c r="I64" i="6"/>
  <c r="B60" i="27"/>
  <c r="F60" i="27"/>
  <c r="G66" i="9"/>
  <c r="H66" i="9"/>
  <c r="D67" i="9"/>
  <c r="E67" i="9" s="1"/>
  <c r="D56" i="46"/>
  <c r="E56" i="46" s="1"/>
  <c r="G55" i="46"/>
  <c r="H55" i="46"/>
  <c r="F66" i="11"/>
  <c r="B66" i="11"/>
  <c r="F62" i="23"/>
  <c r="B62" i="23"/>
  <c r="B68" i="10"/>
  <c r="F63" i="25"/>
  <c r="B63" i="25"/>
  <c r="B55" i="40"/>
  <c r="F55" i="40"/>
  <c r="H55" i="40" s="1"/>
  <c r="B63" i="22"/>
  <c r="F63" i="22"/>
  <c r="B59" i="28"/>
  <c r="F59" i="28"/>
  <c r="B57" i="37"/>
  <c r="F57" i="37"/>
  <c r="B59" i="29"/>
  <c r="F59" i="29"/>
  <c r="B65" i="8"/>
  <c r="F64" i="3"/>
  <c r="B64" i="3"/>
  <c r="B56" i="38"/>
  <c r="F56" i="38"/>
  <c r="G56" i="38" s="1"/>
  <c r="B67" i="7"/>
  <c r="F56" i="39"/>
  <c r="H56" i="39" s="1"/>
  <c r="B56" i="39"/>
  <c r="B64" i="4"/>
  <c r="B61" i="24"/>
  <c r="F61" i="24"/>
  <c r="F59" i="31"/>
  <c r="B59" i="31"/>
  <c r="I65" i="11"/>
  <c r="B55" i="41"/>
  <c r="F55" i="41"/>
  <c r="H55" i="41" s="1"/>
  <c r="E68" i="10"/>
  <c r="F68" i="10" s="1"/>
  <c r="I64" i="8"/>
  <c r="F58" i="30"/>
  <c r="B58" i="30"/>
  <c r="E67" i="7"/>
  <c r="F67" i="7" s="1"/>
  <c r="I63" i="4"/>
  <c r="B64" i="5"/>
  <c r="F64" i="5"/>
  <c r="F65" i="6"/>
  <c r="B65" i="6"/>
  <c r="I55" i="39"/>
  <c r="I62" i="22"/>
  <c r="F54" i="43"/>
  <c r="H54" i="43" s="1"/>
  <c r="B54" i="43"/>
  <c r="B55" i="42"/>
  <c r="F55" i="42"/>
  <c r="G55" i="42" s="1"/>
  <c r="I58" i="29"/>
  <c r="E65" i="8"/>
  <c r="F65" i="8" s="1"/>
  <c r="I66" i="7"/>
  <c r="B56" i="45"/>
  <c r="F56" i="45"/>
  <c r="H56" i="45" s="1"/>
  <c r="E64" i="4"/>
  <c r="F64" i="4" s="1"/>
  <c r="B138" i="13"/>
  <c r="H137" i="13"/>
  <c r="I137" i="13"/>
  <c r="E138" i="13"/>
  <c r="F138" i="13" s="1"/>
  <c r="I55" i="13" l="1"/>
  <c r="I58" i="49"/>
  <c r="D146" i="48"/>
  <c r="G145" i="48"/>
  <c r="G144" i="49"/>
  <c r="D145" i="49"/>
  <c r="B145" i="49" s="1"/>
  <c r="E55" i="47"/>
  <c r="D55" i="47"/>
  <c r="E55" i="48"/>
  <c r="D55" i="48"/>
  <c r="G54" i="48"/>
  <c r="I54" i="48" s="1"/>
  <c r="G54" i="47"/>
  <c r="I54" i="47" s="1"/>
  <c r="D59" i="49"/>
  <c r="E59" i="49" s="1"/>
  <c r="E56" i="13"/>
  <c r="F56" i="13" s="1"/>
  <c r="G56" i="13" s="1"/>
  <c r="B56" i="13"/>
  <c r="I55" i="46"/>
  <c r="I66" i="9"/>
  <c r="D57" i="44"/>
  <c r="G56" i="44"/>
  <c r="H56" i="44"/>
  <c r="G56" i="39"/>
  <c r="I56" i="39" s="1"/>
  <c r="G56" i="45"/>
  <c r="I56" i="45" s="1"/>
  <c r="G54" i="43"/>
  <c r="I54" i="43" s="1"/>
  <c r="G60" i="27"/>
  <c r="H60" i="27"/>
  <c r="D61" i="27"/>
  <c r="H64" i="4"/>
  <c r="D65" i="4"/>
  <c r="E65" i="4" s="1"/>
  <c r="G64" i="4"/>
  <c r="D68" i="7"/>
  <c r="E68" i="7" s="1"/>
  <c r="G67" i="7"/>
  <c r="H67" i="7"/>
  <c r="H68" i="10"/>
  <c r="D69" i="10"/>
  <c r="E69" i="10" s="1"/>
  <c r="G68" i="10"/>
  <c r="H65" i="8"/>
  <c r="D66" i="8"/>
  <c r="E66" i="8" s="1"/>
  <c r="G65" i="8"/>
  <c r="G61" i="24"/>
  <c r="D62" i="24"/>
  <c r="E62" i="24" s="1"/>
  <c r="H61" i="24"/>
  <c r="D58" i="37"/>
  <c r="E58" i="37" s="1"/>
  <c r="G59" i="28"/>
  <c r="H59" i="28"/>
  <c r="D60" i="28"/>
  <c r="E60" i="28" s="1"/>
  <c r="D56" i="42"/>
  <c r="E56" i="42" s="1"/>
  <c r="G58" i="30"/>
  <c r="H58" i="30"/>
  <c r="D59" i="30"/>
  <c r="E59" i="30" s="1"/>
  <c r="D56" i="41"/>
  <c r="E56" i="41"/>
  <c r="H56" i="38"/>
  <c r="I56" i="38" s="1"/>
  <c r="G57" i="37"/>
  <c r="D56" i="40"/>
  <c r="E56" i="40" s="1"/>
  <c r="H63" i="25"/>
  <c r="D64" i="25"/>
  <c r="E64" i="25" s="1"/>
  <c r="G63" i="25"/>
  <c r="H62" i="23"/>
  <c r="G62" i="23"/>
  <c r="D63" i="23"/>
  <c r="E63" i="23" s="1"/>
  <c r="F67" i="9"/>
  <c r="B67" i="9"/>
  <c r="D57" i="45"/>
  <c r="E57" i="45" s="1"/>
  <c r="D55" i="43"/>
  <c r="E55" i="43" s="1"/>
  <c r="D66" i="6"/>
  <c r="E66" i="6" s="1"/>
  <c r="H65" i="6"/>
  <c r="G65" i="6"/>
  <c r="G55" i="41"/>
  <c r="I55" i="41" s="1"/>
  <c r="D57" i="39"/>
  <c r="E57" i="39" s="1"/>
  <c r="H59" i="29"/>
  <c r="D60" i="29"/>
  <c r="E60" i="29" s="1"/>
  <c r="G59" i="29"/>
  <c r="H57" i="37"/>
  <c r="D64" i="22"/>
  <c r="E64" i="22" s="1"/>
  <c r="G63" i="22"/>
  <c r="H63" i="22"/>
  <c r="H55" i="42"/>
  <c r="I55" i="42" s="1"/>
  <c r="D65" i="5"/>
  <c r="E65" i="5" s="1"/>
  <c r="H64" i="5"/>
  <c r="G64" i="5"/>
  <c r="G59" i="31"/>
  <c r="D60" i="31"/>
  <c r="E60" i="31" s="1"/>
  <c r="H59" i="31"/>
  <c r="D57" i="38"/>
  <c r="E57" i="38"/>
  <c r="G64" i="3"/>
  <c r="H64" i="3"/>
  <c r="D65" i="3"/>
  <c r="E65" i="3" s="1"/>
  <c r="G55" i="40"/>
  <c r="I55" i="40" s="1"/>
  <c r="D67" i="11"/>
  <c r="E67" i="11" s="1"/>
  <c r="G66" i="11"/>
  <c r="H66" i="11"/>
  <c r="F56" i="46"/>
  <c r="H56" i="46" s="1"/>
  <c r="B56" i="46"/>
  <c r="G138" i="13"/>
  <c r="D139" i="13"/>
  <c r="E139" i="13" s="1"/>
  <c r="E145" i="49" l="1"/>
  <c r="F145" i="49" s="1"/>
  <c r="G145" i="49" s="1"/>
  <c r="I144" i="49"/>
  <c r="H144" i="49"/>
  <c r="I145" i="48"/>
  <c r="H145" i="48"/>
  <c r="E146" i="48"/>
  <c r="F146" i="48" s="1"/>
  <c r="B146" i="48"/>
  <c r="F55" i="48"/>
  <c r="H55" i="48" s="1"/>
  <c r="B55" i="48"/>
  <c r="G55" i="48"/>
  <c r="B55" i="47"/>
  <c r="F55" i="47"/>
  <c r="H55" i="47" s="1"/>
  <c r="F59" i="49"/>
  <c r="B59" i="49"/>
  <c r="I57" i="37"/>
  <c r="H56" i="13"/>
  <c r="I56" i="13" s="1"/>
  <c r="D57" i="13"/>
  <c r="I56" i="44"/>
  <c r="I58" i="30"/>
  <c r="E57" i="44"/>
  <c r="F57" i="44" s="1"/>
  <c r="B57" i="44"/>
  <c r="I60" i="27"/>
  <c r="I64" i="3"/>
  <c r="I62" i="23"/>
  <c r="I67" i="7"/>
  <c r="G56" i="46"/>
  <c r="I56" i="46" s="1"/>
  <c r="I63" i="25"/>
  <c r="I63" i="22"/>
  <c r="E61" i="27"/>
  <c r="F61" i="27" s="1"/>
  <c r="B61" i="27"/>
  <c r="I66" i="11"/>
  <c r="I59" i="31"/>
  <c r="I59" i="29"/>
  <c r="F64" i="25"/>
  <c r="B64" i="25"/>
  <c r="I61" i="24"/>
  <c r="D57" i="46"/>
  <c r="E57" i="46" s="1"/>
  <c r="B60" i="31"/>
  <c r="F60" i="31"/>
  <c r="B55" i="43"/>
  <c r="F55" i="43"/>
  <c r="G55" i="43" s="1"/>
  <c r="D68" i="9"/>
  <c r="E68" i="9" s="1"/>
  <c r="H67" i="9"/>
  <c r="G67" i="9"/>
  <c r="F59" i="30"/>
  <c r="B59" i="30"/>
  <c r="B56" i="42"/>
  <c r="F56" i="42"/>
  <c r="B58" i="37"/>
  <c r="F58" i="37"/>
  <c r="F62" i="24"/>
  <c r="B62" i="24"/>
  <c r="B67" i="11"/>
  <c r="F67" i="11"/>
  <c r="B65" i="3"/>
  <c r="F65" i="3"/>
  <c r="F57" i="38"/>
  <c r="G57" i="38" s="1"/>
  <c r="B57" i="38"/>
  <c r="B65" i="5"/>
  <c r="F65" i="5"/>
  <c r="B57" i="39"/>
  <c r="F57" i="39"/>
  <c r="G57" i="39" s="1"/>
  <c r="I65" i="6"/>
  <c r="B60" i="28"/>
  <c r="F60" i="28"/>
  <c r="F66" i="8"/>
  <c r="B66" i="8"/>
  <c r="F69" i="10"/>
  <c r="B69" i="10"/>
  <c r="B65" i="4"/>
  <c r="F65" i="4"/>
  <c r="B64" i="22"/>
  <c r="F64" i="22"/>
  <c r="B60" i="29"/>
  <c r="F60" i="29"/>
  <c r="F66" i="6"/>
  <c r="B66" i="6"/>
  <c r="B57" i="45"/>
  <c r="F57" i="45"/>
  <c r="F63" i="23"/>
  <c r="B63" i="23"/>
  <c r="F56" i="40"/>
  <c r="H56" i="40" s="1"/>
  <c r="B56" i="40"/>
  <c r="B56" i="41"/>
  <c r="F56" i="41"/>
  <c r="G56" i="41" s="1"/>
  <c r="I59" i="28"/>
  <c r="I65" i="8"/>
  <c r="I68" i="10"/>
  <c r="F68" i="7"/>
  <c r="B68" i="7"/>
  <c r="I64" i="4"/>
  <c r="I138" i="13"/>
  <c r="H138" i="13"/>
  <c r="B139" i="13"/>
  <c r="F139" i="13"/>
  <c r="D146" i="49" l="1"/>
  <c r="B146" i="49" s="1"/>
  <c r="I55" i="48"/>
  <c r="D147" i="48"/>
  <c r="G146" i="48"/>
  <c r="E146" i="49"/>
  <c r="H145" i="49"/>
  <c r="I145" i="49"/>
  <c r="D60" i="49"/>
  <c r="E60" i="49"/>
  <c r="F60" i="49" s="1"/>
  <c r="D61" i="49" s="1"/>
  <c r="G59" i="49"/>
  <c r="H59" i="49"/>
  <c r="G55" i="47"/>
  <c r="I55" i="47" s="1"/>
  <c r="E56" i="47"/>
  <c r="D56" i="47"/>
  <c r="D56" i="48"/>
  <c r="E56" i="48"/>
  <c r="E57" i="13"/>
  <c r="F57" i="13" s="1"/>
  <c r="B57" i="13"/>
  <c r="H57" i="44"/>
  <c r="D58" i="44"/>
  <c r="G57" i="44"/>
  <c r="H61" i="27"/>
  <c r="D62" i="27"/>
  <c r="B62" i="27" s="1"/>
  <c r="G61" i="27"/>
  <c r="H56" i="41"/>
  <c r="I56" i="41" s="1"/>
  <c r="G56" i="40"/>
  <c r="I56" i="40" s="1"/>
  <c r="D58" i="45"/>
  <c r="E58" i="45" s="1"/>
  <c r="G66" i="8"/>
  <c r="H66" i="8"/>
  <c r="D67" i="8"/>
  <c r="E67" i="8" s="1"/>
  <c r="D66" i="5"/>
  <c r="H65" i="5"/>
  <c r="G65" i="5"/>
  <c r="D68" i="11"/>
  <c r="G67" i="11"/>
  <c r="H67" i="11"/>
  <c r="D59" i="37"/>
  <c r="E59" i="37" s="1"/>
  <c r="D57" i="42"/>
  <c r="E57" i="42" s="1"/>
  <c r="D61" i="31"/>
  <c r="E61" i="31" s="1"/>
  <c r="H60" i="31"/>
  <c r="G60" i="31"/>
  <c r="D57" i="40"/>
  <c r="E57" i="40"/>
  <c r="H57" i="45"/>
  <c r="G64" i="22"/>
  <c r="H64" i="22"/>
  <c r="D65" i="22"/>
  <c r="E65" i="22" s="1"/>
  <c r="D61" i="28"/>
  <c r="E61" i="28" s="1"/>
  <c r="G60" i="28"/>
  <c r="H60" i="28"/>
  <c r="D58" i="39"/>
  <c r="E58" i="39" s="1"/>
  <c r="D58" i="38"/>
  <c r="E58" i="38" s="1"/>
  <c r="H58" i="37"/>
  <c r="H56" i="42"/>
  <c r="D60" i="30"/>
  <c r="E60" i="30" s="1"/>
  <c r="H59" i="30"/>
  <c r="G59" i="30"/>
  <c r="B68" i="9"/>
  <c r="F68" i="9"/>
  <c r="D56" i="43"/>
  <c r="E56" i="43" s="1"/>
  <c r="H68" i="7"/>
  <c r="D69" i="7"/>
  <c r="G68" i="7"/>
  <c r="G57" i="45"/>
  <c r="G66" i="6"/>
  <c r="D67" i="6"/>
  <c r="E67" i="6" s="1"/>
  <c r="H66" i="6"/>
  <c r="D70" i="10"/>
  <c r="G69" i="10"/>
  <c r="H69" i="10"/>
  <c r="H57" i="39"/>
  <c r="I57" i="39" s="1"/>
  <c r="H57" i="38"/>
  <c r="I57" i="38" s="1"/>
  <c r="H65" i="3"/>
  <c r="D66" i="3"/>
  <c r="G65" i="3"/>
  <c r="G58" i="37"/>
  <c r="G56" i="42"/>
  <c r="H55" i="43"/>
  <c r="I55" i="43" s="1"/>
  <c r="D57" i="41"/>
  <c r="E57" i="41" s="1"/>
  <c r="G63" i="23"/>
  <c r="H63" i="23"/>
  <c r="D64" i="23"/>
  <c r="E64" i="23" s="1"/>
  <c r="G60" i="29"/>
  <c r="H60" i="29"/>
  <c r="D61" i="29"/>
  <c r="E61" i="29" s="1"/>
  <c r="D66" i="4"/>
  <c r="G65" i="4"/>
  <c r="H65" i="4"/>
  <c r="D63" i="24"/>
  <c r="E63" i="24" s="1"/>
  <c r="G62" i="24"/>
  <c r="H62" i="24"/>
  <c r="I67" i="9"/>
  <c r="F57" i="46"/>
  <c r="H57" i="46" s="1"/>
  <c r="B57" i="46"/>
  <c r="G64" i="25"/>
  <c r="H64" i="25"/>
  <c r="D65" i="25"/>
  <c r="E65" i="25" s="1"/>
  <c r="G139" i="13"/>
  <c r="D140" i="13"/>
  <c r="E140" i="13" s="1"/>
  <c r="I59" i="49" l="1"/>
  <c r="F146" i="49"/>
  <c r="I146" i="48"/>
  <c r="H146" i="48"/>
  <c r="E147" i="48"/>
  <c r="B147" i="48"/>
  <c r="B56" i="47"/>
  <c r="F56" i="47"/>
  <c r="H56" i="47" s="1"/>
  <c r="E61" i="49"/>
  <c r="F61" i="49" s="1"/>
  <c r="H61" i="49" s="1"/>
  <c r="B61" i="49"/>
  <c r="F56" i="48"/>
  <c r="G56" i="48" s="1"/>
  <c r="B56" i="48"/>
  <c r="B60" i="49"/>
  <c r="G60" i="49"/>
  <c r="H60" i="49"/>
  <c r="I60" i="49" s="1"/>
  <c r="H57" i="13"/>
  <c r="D58" i="13"/>
  <c r="G57" i="13"/>
  <c r="B58" i="44"/>
  <c r="E58" i="44"/>
  <c r="F58" i="44" s="1"/>
  <c r="I57" i="44"/>
  <c r="I65" i="4"/>
  <c r="I63" i="23"/>
  <c r="I66" i="8"/>
  <c r="I67" i="11"/>
  <c r="I61" i="27"/>
  <c r="I62" i="24"/>
  <c r="I60" i="29"/>
  <c r="I69" i="10"/>
  <c r="I64" i="22"/>
  <c r="E62" i="27"/>
  <c r="F62" i="27" s="1"/>
  <c r="B70" i="10"/>
  <c r="F56" i="43"/>
  <c r="B56" i="43"/>
  <c r="I58" i="37"/>
  <c r="F58" i="39"/>
  <c r="G58" i="39" s="1"/>
  <c r="B58" i="39"/>
  <c r="B61" i="28"/>
  <c r="F61" i="28"/>
  <c r="I60" i="31"/>
  <c r="F59" i="37"/>
  <c r="H59" i="37" s="1"/>
  <c r="B59" i="37"/>
  <c r="D58" i="46"/>
  <c r="B63" i="24"/>
  <c r="F63" i="24"/>
  <c r="B66" i="4"/>
  <c r="B66" i="3"/>
  <c r="B69" i="7"/>
  <c r="G68" i="9"/>
  <c r="H68" i="9"/>
  <c r="D69" i="9"/>
  <c r="I59" i="30"/>
  <c r="I57" i="45"/>
  <c r="B61" i="31"/>
  <c r="F61" i="31"/>
  <c r="B68" i="11"/>
  <c r="B66" i="5"/>
  <c r="F65" i="25"/>
  <c r="B65" i="25"/>
  <c r="I64" i="25"/>
  <c r="G57" i="46"/>
  <c r="I57" i="46" s="1"/>
  <c r="E66" i="4"/>
  <c r="F66" i="4" s="1"/>
  <c r="I65" i="3"/>
  <c r="I66" i="6"/>
  <c r="I68" i="7"/>
  <c r="F60" i="30"/>
  <c r="B60" i="30"/>
  <c r="B58" i="38"/>
  <c r="F58" i="38"/>
  <c r="H58" i="38" s="1"/>
  <c r="I60" i="28"/>
  <c r="B65" i="22"/>
  <c r="F65" i="22"/>
  <c r="E68" i="11"/>
  <c r="F68" i="11" s="1"/>
  <c r="E66" i="5"/>
  <c r="F66" i="5" s="1"/>
  <c r="B61" i="29"/>
  <c r="F61" i="29"/>
  <c r="F64" i="23"/>
  <c r="B64" i="23"/>
  <c r="B57" i="41"/>
  <c r="F57" i="41"/>
  <c r="E66" i="3"/>
  <c r="F66" i="3" s="1"/>
  <c r="E70" i="10"/>
  <c r="F70" i="10" s="1"/>
  <c r="F67" i="6"/>
  <c r="B67" i="6"/>
  <c r="E69" i="7"/>
  <c r="F69" i="7" s="1"/>
  <c r="I56" i="42"/>
  <c r="F57" i="40"/>
  <c r="G57" i="40" s="1"/>
  <c r="B57" i="40"/>
  <c r="B57" i="42"/>
  <c r="F57" i="42"/>
  <c r="G57" i="42" s="1"/>
  <c r="B67" i="8"/>
  <c r="F67" i="8"/>
  <c r="F58" i="45"/>
  <c r="G58" i="45" s="1"/>
  <c r="B58" i="45"/>
  <c r="H139" i="13"/>
  <c r="I139" i="13"/>
  <c r="F140" i="13"/>
  <c r="B140" i="13"/>
  <c r="G56" i="47" l="1"/>
  <c r="I56" i="47" s="1"/>
  <c r="F147" i="48"/>
  <c r="D147" i="49"/>
  <c r="G146" i="49"/>
  <c r="G61" i="49"/>
  <c r="I61" i="49" s="1"/>
  <c r="D62" i="49"/>
  <c r="E57" i="47"/>
  <c r="D57" i="47"/>
  <c r="H56" i="48"/>
  <c r="I56" i="48" s="1"/>
  <c r="D57" i="48"/>
  <c r="E57" i="48"/>
  <c r="H58" i="45"/>
  <c r="I57" i="13"/>
  <c r="B58" i="13"/>
  <c r="E58" i="13"/>
  <c r="F58" i="13" s="1"/>
  <c r="H57" i="40"/>
  <c r="I57" i="40" s="1"/>
  <c r="H58" i="44"/>
  <c r="D59" i="44"/>
  <c r="G58" i="44"/>
  <c r="I68" i="9"/>
  <c r="H57" i="42"/>
  <c r="I57" i="42" s="1"/>
  <c r="H58" i="39"/>
  <c r="I58" i="39" s="1"/>
  <c r="G59" i="37"/>
  <c r="I59" i="37" s="1"/>
  <c r="I58" i="45"/>
  <c r="G58" i="38"/>
  <c r="I58" i="38" s="1"/>
  <c r="H62" i="27"/>
  <c r="D63" i="27"/>
  <c r="B63" i="27" s="1"/>
  <c r="G62" i="27"/>
  <c r="D67" i="3"/>
  <c r="E67" i="3" s="1"/>
  <c r="H66" i="3"/>
  <c r="G66" i="3"/>
  <c r="G66" i="5"/>
  <c r="D67" i="5"/>
  <c r="E67" i="5" s="1"/>
  <c r="H66" i="5"/>
  <c r="D67" i="4"/>
  <c r="E67" i="4" s="1"/>
  <c r="G66" i="4"/>
  <c r="H66" i="4"/>
  <c r="G69" i="7"/>
  <c r="H69" i="7"/>
  <c r="D70" i="7"/>
  <c r="E70" i="7" s="1"/>
  <c r="G68" i="11"/>
  <c r="H68" i="11"/>
  <c r="D69" i="11"/>
  <c r="E69" i="11" s="1"/>
  <c r="D71" i="10"/>
  <c r="E71" i="10" s="1"/>
  <c r="G70" i="10"/>
  <c r="H70" i="10"/>
  <c r="D58" i="41"/>
  <c r="E58" i="41" s="1"/>
  <c r="D62" i="31"/>
  <c r="E62" i="31" s="1"/>
  <c r="H61" i="31"/>
  <c r="G61" i="31"/>
  <c r="B69" i="9"/>
  <c r="B58" i="46"/>
  <c r="D57" i="43"/>
  <c r="E57" i="43" s="1"/>
  <c r="D58" i="40"/>
  <c r="E58" i="40"/>
  <c r="H67" i="6"/>
  <c r="D68" i="6"/>
  <c r="G67" i="6"/>
  <c r="H57" i="41"/>
  <c r="D65" i="23"/>
  <c r="E65" i="23" s="1"/>
  <c r="G64" i="23"/>
  <c r="H64" i="23"/>
  <c r="E69" i="9"/>
  <c r="F69" i="9" s="1"/>
  <c r="E58" i="46"/>
  <c r="F58" i="46" s="1"/>
  <c r="G56" i="43"/>
  <c r="G61" i="29"/>
  <c r="H61" i="29"/>
  <c r="D62" i="29"/>
  <c r="E62" i="29" s="1"/>
  <c r="D59" i="38"/>
  <c r="E59" i="38"/>
  <c r="D64" i="24"/>
  <c r="E64" i="24" s="1"/>
  <c r="H63" i="24"/>
  <c r="G63" i="24"/>
  <c r="H67" i="8"/>
  <c r="G67" i="8"/>
  <c r="D68" i="8"/>
  <c r="D59" i="45"/>
  <c r="E59" i="45" s="1"/>
  <c r="D58" i="42"/>
  <c r="E58" i="42"/>
  <c r="G57" i="41"/>
  <c r="H65" i="22"/>
  <c r="G65" i="22"/>
  <c r="D66" i="22"/>
  <c r="E66" i="22" s="1"/>
  <c r="D61" i="30"/>
  <c r="E61" i="30" s="1"/>
  <c r="G60" i="30"/>
  <c r="H60" i="30"/>
  <c r="D66" i="25"/>
  <c r="H65" i="25"/>
  <c r="G65" i="25"/>
  <c r="D60" i="37"/>
  <c r="E60" i="37" s="1"/>
  <c r="D62" i="28"/>
  <c r="E62" i="28" s="1"/>
  <c r="G61" i="28"/>
  <c r="H61" i="28"/>
  <c r="D59" i="39"/>
  <c r="E59" i="39" s="1"/>
  <c r="H56" i="43"/>
  <c r="D141" i="13"/>
  <c r="G140" i="13"/>
  <c r="H146" i="49" l="1"/>
  <c r="I146" i="49"/>
  <c r="E147" i="49"/>
  <c r="B147" i="49"/>
  <c r="D148" i="48"/>
  <c r="B148" i="48" s="1"/>
  <c r="G147" i="48"/>
  <c r="E148" i="48"/>
  <c r="F57" i="48"/>
  <c r="G57" i="48" s="1"/>
  <c r="B57" i="48"/>
  <c r="E62" i="49"/>
  <c r="F62" i="49" s="1"/>
  <c r="B62" i="49"/>
  <c r="B57" i="47"/>
  <c r="F57" i="47"/>
  <c r="I66" i="4"/>
  <c r="D59" i="13"/>
  <c r="G58" i="13"/>
  <c r="H58" i="13"/>
  <c r="E59" i="44"/>
  <c r="F59" i="44" s="1"/>
  <c r="B59" i="44"/>
  <c r="I58" i="44"/>
  <c r="I56" i="43"/>
  <c r="I61" i="29"/>
  <c r="I62" i="27"/>
  <c r="I65" i="25"/>
  <c r="E63" i="27"/>
  <c r="F63" i="27" s="1"/>
  <c r="I61" i="28"/>
  <c r="D59" i="46"/>
  <c r="E59" i="46" s="1"/>
  <c r="H58" i="46"/>
  <c r="G58" i="46"/>
  <c r="H69" i="9"/>
  <c r="D70" i="9"/>
  <c r="E70" i="9" s="1"/>
  <c r="G69" i="9"/>
  <c r="B60" i="37"/>
  <c r="F60" i="37"/>
  <c r="G60" i="37" s="1"/>
  <c r="B66" i="25"/>
  <c r="F61" i="30"/>
  <c r="B61" i="30"/>
  <c r="I65" i="22"/>
  <c r="B68" i="8"/>
  <c r="F59" i="38"/>
  <c r="H59" i="38" s="1"/>
  <c r="B59" i="38"/>
  <c r="B65" i="23"/>
  <c r="F65" i="23"/>
  <c r="B68" i="6"/>
  <c r="I61" i="31"/>
  <c r="I70" i="10"/>
  <c r="E66" i="25"/>
  <c r="F66" i="25" s="1"/>
  <c r="F59" i="45"/>
  <c r="H59" i="45" s="1"/>
  <c r="B59" i="45"/>
  <c r="I63" i="24"/>
  <c r="I57" i="41"/>
  <c r="I67" i="6"/>
  <c r="B62" i="31"/>
  <c r="F62" i="31"/>
  <c r="F69" i="11"/>
  <c r="B69" i="11"/>
  <c r="F70" i="7"/>
  <c r="B70" i="7"/>
  <c r="B59" i="39"/>
  <c r="F59" i="39"/>
  <c r="H59" i="39" s="1"/>
  <c r="B62" i="28"/>
  <c r="F62" i="28"/>
  <c r="I60" i="30"/>
  <c r="F66" i="22"/>
  <c r="B66" i="22"/>
  <c r="I67" i="8"/>
  <c r="B64" i="24"/>
  <c r="F64" i="24"/>
  <c r="B62" i="29"/>
  <c r="F62" i="29"/>
  <c r="I64" i="23"/>
  <c r="E68" i="6"/>
  <c r="F68" i="6" s="1"/>
  <c r="I68" i="11"/>
  <c r="I69" i="7"/>
  <c r="F67" i="5"/>
  <c r="B67" i="5"/>
  <c r="I66" i="3"/>
  <c r="F58" i="42"/>
  <c r="H58" i="42" s="1"/>
  <c r="B58" i="42"/>
  <c r="E68" i="8"/>
  <c r="F68" i="8" s="1"/>
  <c r="F58" i="40"/>
  <c r="H58" i="40" s="1"/>
  <c r="B58" i="40"/>
  <c r="B57" i="43"/>
  <c r="F57" i="43"/>
  <c r="G57" i="43" s="1"/>
  <c r="F58" i="41"/>
  <c r="G58" i="41" s="1"/>
  <c r="B58" i="41"/>
  <c r="B71" i="10"/>
  <c r="F71" i="10"/>
  <c r="F67" i="4"/>
  <c r="B67" i="4"/>
  <c r="B67" i="3"/>
  <c r="F67" i="3"/>
  <c r="B141" i="13"/>
  <c r="H140" i="13"/>
  <c r="I140" i="13"/>
  <c r="E141" i="13"/>
  <c r="F141" i="13" s="1"/>
  <c r="H57" i="48" l="1"/>
  <c r="I57" i="48" s="1"/>
  <c r="F147" i="49"/>
  <c r="H147" i="48"/>
  <c r="I147" i="48"/>
  <c r="F148" i="48"/>
  <c r="D63" i="49"/>
  <c r="E63" i="49" s="1"/>
  <c r="G62" i="49"/>
  <c r="G57" i="47"/>
  <c r="D58" i="47"/>
  <c r="E58" i="47"/>
  <c r="H57" i="47"/>
  <c r="H62" i="49"/>
  <c r="E58" i="48"/>
  <c r="D58" i="48"/>
  <c r="I58" i="13"/>
  <c r="E59" i="13"/>
  <c r="F59" i="13" s="1"/>
  <c r="B59" i="13"/>
  <c r="G59" i="39"/>
  <c r="G59" i="44"/>
  <c r="H59" i="44"/>
  <c r="D60" i="44"/>
  <c r="G58" i="42"/>
  <c r="I58" i="42" s="1"/>
  <c r="G59" i="38"/>
  <c r="I59" i="38" s="1"/>
  <c r="H57" i="43"/>
  <c r="I57" i="43" s="1"/>
  <c r="I58" i="46"/>
  <c r="I59" i="39"/>
  <c r="H63" i="27"/>
  <c r="D64" i="27"/>
  <c r="E64" i="27" s="1"/>
  <c r="G63" i="27"/>
  <c r="H68" i="6"/>
  <c r="G68" i="6"/>
  <c r="D69" i="6"/>
  <c r="E69" i="6" s="1"/>
  <c r="H66" i="25"/>
  <c r="G66" i="25"/>
  <c r="D67" i="25"/>
  <c r="E67" i="25" s="1"/>
  <c r="D69" i="8"/>
  <c r="E69" i="8" s="1"/>
  <c r="G68" i="8"/>
  <c r="H68" i="8"/>
  <c r="G62" i="29"/>
  <c r="H62" i="29"/>
  <c r="D63" i="29"/>
  <c r="E63" i="29" s="1"/>
  <c r="D63" i="28"/>
  <c r="G62" i="28"/>
  <c r="H62" i="28"/>
  <c r="H62" i="31"/>
  <c r="D63" i="31"/>
  <c r="G62" i="31"/>
  <c r="D60" i="45"/>
  <c r="E60" i="45" s="1"/>
  <c r="D61" i="37"/>
  <c r="E61" i="37" s="1"/>
  <c r="G67" i="4"/>
  <c r="H67" i="4"/>
  <c r="D68" i="4"/>
  <c r="E68" i="4" s="1"/>
  <c r="H58" i="41"/>
  <c r="I58" i="41" s="1"/>
  <c r="D58" i="43"/>
  <c r="E58" i="43" s="1"/>
  <c r="D59" i="40"/>
  <c r="E59" i="40" s="1"/>
  <c r="D71" i="7"/>
  <c r="E71" i="7" s="1"/>
  <c r="G70" i="7"/>
  <c r="H70" i="7"/>
  <c r="G61" i="30"/>
  <c r="D62" i="30"/>
  <c r="E62" i="30" s="1"/>
  <c r="H61" i="30"/>
  <c r="G67" i="3"/>
  <c r="D68" i="3"/>
  <c r="E68" i="3" s="1"/>
  <c r="H67" i="3"/>
  <c r="G71" i="10"/>
  <c r="H71" i="10"/>
  <c r="D72" i="10"/>
  <c r="E72" i="10" s="1"/>
  <c r="E73" i="10" s="1"/>
  <c r="G58" i="40"/>
  <c r="I58" i="40" s="1"/>
  <c r="D59" i="42"/>
  <c r="E59" i="42" s="1"/>
  <c r="G64" i="24"/>
  <c r="D65" i="24"/>
  <c r="E65" i="24" s="1"/>
  <c r="H64" i="24"/>
  <c r="H66" i="22"/>
  <c r="G66" i="22"/>
  <c r="D67" i="22"/>
  <c r="E67" i="22" s="1"/>
  <c r="D60" i="39"/>
  <c r="E60" i="39" s="1"/>
  <c r="D60" i="38"/>
  <c r="E60" i="38" s="1"/>
  <c r="H60" i="37"/>
  <c r="I60" i="37" s="1"/>
  <c r="B70" i="9"/>
  <c r="F70" i="9"/>
  <c r="D59" i="41"/>
  <c r="E59" i="41" s="1"/>
  <c r="D68" i="5"/>
  <c r="E68" i="5" s="1"/>
  <c r="G67" i="5"/>
  <c r="H67" i="5"/>
  <c r="D70" i="11"/>
  <c r="E70" i="11" s="1"/>
  <c r="G69" i="11"/>
  <c r="H69" i="11"/>
  <c r="G59" i="45"/>
  <c r="I59" i="45" s="1"/>
  <c r="D66" i="23"/>
  <c r="E66" i="23" s="1"/>
  <c r="G65" i="23"/>
  <c r="H65" i="23"/>
  <c r="I69" i="9"/>
  <c r="B59" i="46"/>
  <c r="F59" i="46"/>
  <c r="H59" i="46" s="1"/>
  <c r="G141" i="13"/>
  <c r="D142" i="13"/>
  <c r="E142" i="13" s="1"/>
  <c r="D149" i="48" l="1"/>
  <c r="G148" i="48"/>
  <c r="G147" i="49"/>
  <c r="D148" i="49"/>
  <c r="B148" i="49" s="1"/>
  <c r="F58" i="48"/>
  <c r="B58" i="48"/>
  <c r="G58" i="48"/>
  <c r="I57" i="47"/>
  <c r="F58" i="47"/>
  <c r="H58" i="47"/>
  <c r="B58" i="47"/>
  <c r="I62" i="49"/>
  <c r="B63" i="49"/>
  <c r="F63" i="49"/>
  <c r="H63" i="49"/>
  <c r="I59" i="44"/>
  <c r="G59" i="13"/>
  <c r="D60" i="13"/>
  <c r="H59" i="13"/>
  <c r="E60" i="44"/>
  <c r="F60" i="44" s="1"/>
  <c r="B60" i="44"/>
  <c r="I64" i="24"/>
  <c r="I67" i="3"/>
  <c r="I66" i="22"/>
  <c r="I70" i="7"/>
  <c r="I71" i="10"/>
  <c r="G59" i="46"/>
  <c r="I59" i="46" s="1"/>
  <c r="I61" i="30"/>
  <c r="F64" i="27"/>
  <c r="B64" i="27"/>
  <c r="I62" i="29"/>
  <c r="I68" i="8"/>
  <c r="I63" i="27"/>
  <c r="G70" i="9"/>
  <c r="H70" i="9"/>
  <c r="D71" i="9"/>
  <c r="E71" i="9" s="1"/>
  <c r="F60" i="38"/>
  <c r="G60" i="38" s="1"/>
  <c r="B60" i="38"/>
  <c r="F60" i="39"/>
  <c r="G60" i="39" s="1"/>
  <c r="B60" i="39"/>
  <c r="F72" i="10"/>
  <c r="B72" i="10"/>
  <c r="B71" i="7"/>
  <c r="F71" i="7"/>
  <c r="B58" i="43"/>
  <c r="F58" i="43"/>
  <c r="H58" i="43" s="1"/>
  <c r="I67" i="4"/>
  <c r="I62" i="28"/>
  <c r="F63" i="29"/>
  <c r="B63" i="29"/>
  <c r="I65" i="23"/>
  <c r="F70" i="11"/>
  <c r="B70" i="11"/>
  <c r="B63" i="31"/>
  <c r="F67" i="25"/>
  <c r="B67" i="25"/>
  <c r="B69" i="6"/>
  <c r="F69" i="6"/>
  <c r="F67" i="22"/>
  <c r="B67" i="22"/>
  <c r="F59" i="42"/>
  <c r="H59" i="42" s="1"/>
  <c r="B59" i="42"/>
  <c r="F68" i="3"/>
  <c r="B68" i="3"/>
  <c r="B62" i="30"/>
  <c r="F62" i="30"/>
  <c r="F59" i="40"/>
  <c r="G59" i="40" s="1"/>
  <c r="B59" i="40"/>
  <c r="F61" i="37"/>
  <c r="G61" i="37" s="1"/>
  <c r="B61" i="37"/>
  <c r="F60" i="45"/>
  <c r="B60" i="45"/>
  <c r="I62" i="31"/>
  <c r="B63" i="28"/>
  <c r="D60" i="46"/>
  <c r="E60" i="46" s="1"/>
  <c r="F66" i="23"/>
  <c r="B66" i="23"/>
  <c r="I69" i="11"/>
  <c r="F68" i="5"/>
  <c r="B68" i="5"/>
  <c r="F59" i="41"/>
  <c r="H59" i="41" s="1"/>
  <c r="B59" i="41"/>
  <c r="B65" i="24"/>
  <c r="F65" i="24"/>
  <c r="B68" i="4"/>
  <c r="F68" i="4"/>
  <c r="E63" i="31"/>
  <c r="F63" i="31" s="1"/>
  <c r="E63" i="28"/>
  <c r="F63" i="28" s="1"/>
  <c r="F69" i="8"/>
  <c r="B69" i="8"/>
  <c r="I66" i="25"/>
  <c r="I68" i="6"/>
  <c r="I141" i="13"/>
  <c r="H141" i="13"/>
  <c r="B142" i="13"/>
  <c r="F142" i="13"/>
  <c r="E148" i="49" l="1"/>
  <c r="F148" i="49" s="1"/>
  <c r="I148" i="48"/>
  <c r="H148" i="48"/>
  <c r="H147" i="49"/>
  <c r="I147" i="49"/>
  <c r="E149" i="48"/>
  <c r="B149" i="48"/>
  <c r="I59" i="13"/>
  <c r="D59" i="47"/>
  <c r="E59" i="47" s="1"/>
  <c r="G63" i="49"/>
  <c r="I63" i="49" s="1"/>
  <c r="D64" i="49"/>
  <c r="G58" i="47"/>
  <c r="I58" i="47" s="1"/>
  <c r="H58" i="48"/>
  <c r="D59" i="48"/>
  <c r="E59" i="48" s="1"/>
  <c r="E60" i="13"/>
  <c r="B60" i="13"/>
  <c r="F60" i="13"/>
  <c r="H60" i="44"/>
  <c r="D61" i="44"/>
  <c r="G60" i="44"/>
  <c r="G59" i="41"/>
  <c r="I59" i="41" s="1"/>
  <c r="I70" i="9"/>
  <c r="H60" i="39"/>
  <c r="I60" i="39" s="1"/>
  <c r="H59" i="40"/>
  <c r="I59" i="40" s="1"/>
  <c r="G59" i="42"/>
  <c r="I59" i="42" s="1"/>
  <c r="G58" i="43"/>
  <c r="I58" i="43" s="1"/>
  <c r="D65" i="27"/>
  <c r="G64" i="27"/>
  <c r="H64" i="27"/>
  <c r="D64" i="28"/>
  <c r="E64" i="28" s="1"/>
  <c r="G63" i="28"/>
  <c r="H63" i="28"/>
  <c r="H63" i="31"/>
  <c r="D64" i="31"/>
  <c r="G63" i="31"/>
  <c r="D70" i="8"/>
  <c r="E70" i="8" s="1"/>
  <c r="G69" i="8"/>
  <c r="H69" i="8"/>
  <c r="D69" i="5"/>
  <c r="H68" i="5"/>
  <c r="G68" i="5"/>
  <c r="D67" i="23"/>
  <c r="G66" i="23"/>
  <c r="H66" i="23"/>
  <c r="D61" i="45"/>
  <c r="E61" i="45" s="1"/>
  <c r="H61" i="37"/>
  <c r="I61" i="37" s="1"/>
  <c r="H69" i="6"/>
  <c r="D70" i="6"/>
  <c r="G69" i="6"/>
  <c r="H70" i="11"/>
  <c r="D71" i="11"/>
  <c r="G70" i="11"/>
  <c r="H60" i="38"/>
  <c r="I60" i="38" s="1"/>
  <c r="H65" i="24"/>
  <c r="D66" i="24"/>
  <c r="E66" i="24" s="1"/>
  <c r="G65" i="24"/>
  <c r="H60" i="45"/>
  <c r="D60" i="40"/>
  <c r="E60" i="40" s="1"/>
  <c r="H68" i="3"/>
  <c r="D69" i="3"/>
  <c r="G68" i="3"/>
  <c r="D60" i="42"/>
  <c r="E60" i="42" s="1"/>
  <c r="H72" i="10"/>
  <c r="G72" i="10"/>
  <c r="G73" i="10" s="1"/>
  <c r="D61" i="39"/>
  <c r="E61" i="39" s="1"/>
  <c r="D60" i="41"/>
  <c r="E60" i="41" s="1"/>
  <c r="F60" i="46"/>
  <c r="G60" i="46" s="1"/>
  <c r="B60" i="46"/>
  <c r="G62" i="30"/>
  <c r="D63" i="30"/>
  <c r="E63" i="30" s="1"/>
  <c r="H62" i="30"/>
  <c r="D59" i="43"/>
  <c r="E59" i="43" s="1"/>
  <c r="G71" i="7"/>
  <c r="H71" i="7"/>
  <c r="D72" i="7"/>
  <c r="G68" i="4"/>
  <c r="D69" i="4"/>
  <c r="H68" i="4"/>
  <c r="G60" i="45"/>
  <c r="D62" i="37"/>
  <c r="E62" i="37" s="1"/>
  <c r="D68" i="22"/>
  <c r="E68" i="22" s="1"/>
  <c r="H67" i="22"/>
  <c r="G67" i="22"/>
  <c r="D68" i="25"/>
  <c r="E68" i="25" s="1"/>
  <c r="G67" i="25"/>
  <c r="H67" i="25"/>
  <c r="H63" i="29"/>
  <c r="G63" i="29"/>
  <c r="D64" i="29"/>
  <c r="E64" i="29" s="1"/>
  <c r="D61" i="38"/>
  <c r="E61" i="38" s="1"/>
  <c r="F71" i="9"/>
  <c r="B71" i="9"/>
  <c r="D143" i="13"/>
  <c r="E143" i="13" s="1"/>
  <c r="G142" i="13"/>
  <c r="F149" i="48" l="1"/>
  <c r="D149" i="49"/>
  <c r="G148" i="49"/>
  <c r="F59" i="48"/>
  <c r="G59" i="48" s="1"/>
  <c r="B59" i="48"/>
  <c r="E64" i="49"/>
  <c r="F64" i="49" s="1"/>
  <c r="H64" i="49" s="1"/>
  <c r="B64" i="49"/>
  <c r="I58" i="48"/>
  <c r="B59" i="47"/>
  <c r="F59" i="47"/>
  <c r="H59" i="47" s="1"/>
  <c r="H60" i="13"/>
  <c r="D61" i="13"/>
  <c r="G60" i="13"/>
  <c r="I60" i="44"/>
  <c r="I67" i="25"/>
  <c r="E61" i="44"/>
  <c r="F61" i="44" s="1"/>
  <c r="B61" i="44"/>
  <c r="H60" i="46"/>
  <c r="I60" i="46" s="1"/>
  <c r="I63" i="28"/>
  <c r="I68" i="4"/>
  <c r="I71" i="7"/>
  <c r="I68" i="3"/>
  <c r="B65" i="27"/>
  <c r="I63" i="29"/>
  <c r="I69" i="6"/>
  <c r="I64" i="27"/>
  <c r="I65" i="24"/>
  <c r="I70" i="11"/>
  <c r="E65" i="27"/>
  <c r="F65" i="27" s="1"/>
  <c r="B72" i="7"/>
  <c r="B59" i="43"/>
  <c r="F59" i="43"/>
  <c r="G59" i="43" s="1"/>
  <c r="B61" i="39"/>
  <c r="F61" i="39"/>
  <c r="B69" i="3"/>
  <c r="I60" i="45"/>
  <c r="B71" i="11"/>
  <c r="B70" i="6"/>
  <c r="I66" i="23"/>
  <c r="I69" i="8"/>
  <c r="D72" i="9"/>
  <c r="G71" i="9"/>
  <c r="H71" i="9"/>
  <c r="B64" i="29"/>
  <c r="F64" i="29"/>
  <c r="B62" i="37"/>
  <c r="F62" i="37"/>
  <c r="G62" i="37" s="1"/>
  <c r="B69" i="4"/>
  <c r="F60" i="42"/>
  <c r="G60" i="42" s="1"/>
  <c r="B60" i="42"/>
  <c r="B64" i="31"/>
  <c r="I67" i="22"/>
  <c r="I62" i="30"/>
  <c r="B60" i="41"/>
  <c r="F60" i="41"/>
  <c r="H60" i="41" s="1"/>
  <c r="I72" i="10"/>
  <c r="I73" i="10" s="1"/>
  <c r="H73" i="10"/>
  <c r="E69" i="3"/>
  <c r="F69" i="3" s="1"/>
  <c r="E71" i="11"/>
  <c r="F71" i="11" s="1"/>
  <c r="E70" i="6"/>
  <c r="F70" i="6" s="1"/>
  <c r="F61" i="45"/>
  <c r="H61" i="45" s="1"/>
  <c r="B61" i="45"/>
  <c r="B67" i="23"/>
  <c r="B69" i="5"/>
  <c r="B70" i="8"/>
  <c r="F70" i="8"/>
  <c r="I63" i="31"/>
  <c r="B61" i="38"/>
  <c r="F61" i="38"/>
  <c r="G61" i="38" s="1"/>
  <c r="B68" i="25"/>
  <c r="F68" i="25"/>
  <c r="F68" i="22"/>
  <c r="B68" i="22"/>
  <c r="E69" i="4"/>
  <c r="F69" i="4" s="1"/>
  <c r="E72" i="7"/>
  <c r="E73" i="7" s="1"/>
  <c r="F63" i="30"/>
  <c r="B63" i="30"/>
  <c r="D61" i="46"/>
  <c r="B60" i="40"/>
  <c r="F60" i="40"/>
  <c r="H60" i="40" s="1"/>
  <c r="F66" i="24"/>
  <c r="B66" i="24"/>
  <c r="E67" i="23"/>
  <c r="F67" i="23" s="1"/>
  <c r="E69" i="5"/>
  <c r="F69" i="5" s="1"/>
  <c r="E64" i="31"/>
  <c r="F64" i="31" s="1"/>
  <c r="B64" i="28"/>
  <c r="F64" i="28"/>
  <c r="I142" i="13"/>
  <c r="H142" i="13"/>
  <c r="B143" i="13"/>
  <c r="F143" i="13"/>
  <c r="H59" i="48" l="1"/>
  <c r="I59" i="48" s="1"/>
  <c r="I148" i="49"/>
  <c r="H148" i="49"/>
  <c r="D150" i="48"/>
  <c r="G149" i="48"/>
  <c r="E149" i="49"/>
  <c r="B149" i="49"/>
  <c r="D65" i="49"/>
  <c r="E65" i="49" s="1"/>
  <c r="F65" i="49" s="1"/>
  <c r="D66" i="49" s="1"/>
  <c r="I60" i="13"/>
  <c r="G59" i="47"/>
  <c r="I59" i="47" s="1"/>
  <c r="D60" i="47"/>
  <c r="E60" i="47" s="1"/>
  <c r="F60" i="47" s="1"/>
  <c r="G64" i="49"/>
  <c r="I64" i="49" s="1"/>
  <c r="D60" i="48"/>
  <c r="E60" i="48" s="1"/>
  <c r="F60" i="48" s="1"/>
  <c r="E61" i="13"/>
  <c r="F61" i="13" s="1"/>
  <c r="B61" i="13"/>
  <c r="H61" i="44"/>
  <c r="D62" i="44"/>
  <c r="G61" i="44"/>
  <c r="I71" i="9"/>
  <c r="G61" i="45"/>
  <c r="I61" i="45" s="1"/>
  <c r="G60" i="41"/>
  <c r="I60" i="41" s="1"/>
  <c r="H59" i="43"/>
  <c r="I59" i="43" s="1"/>
  <c r="G65" i="27"/>
  <c r="D66" i="27"/>
  <c r="H65" i="27"/>
  <c r="H60" i="42"/>
  <c r="I60" i="42" s="1"/>
  <c r="H71" i="11"/>
  <c r="G71" i="11"/>
  <c r="D72" i="11"/>
  <c r="E72" i="11" s="1"/>
  <c r="E73" i="11" s="1"/>
  <c r="H69" i="5"/>
  <c r="D70" i="5"/>
  <c r="E70" i="5" s="1"/>
  <c r="G69" i="5"/>
  <c r="G69" i="3"/>
  <c r="H69" i="3"/>
  <c r="D70" i="3"/>
  <c r="E70" i="3" s="1"/>
  <c r="G69" i="4"/>
  <c r="D70" i="4"/>
  <c r="E70" i="4" s="1"/>
  <c r="H69" i="4"/>
  <c r="G67" i="23"/>
  <c r="H67" i="23"/>
  <c r="D68" i="23"/>
  <c r="H64" i="31"/>
  <c r="D65" i="31"/>
  <c r="G64" i="31"/>
  <c r="H70" i="6"/>
  <c r="D71" i="6"/>
  <c r="G70" i="6"/>
  <c r="H66" i="24"/>
  <c r="D67" i="24"/>
  <c r="G66" i="24"/>
  <c r="H63" i="30"/>
  <c r="D64" i="30"/>
  <c r="G63" i="30"/>
  <c r="D69" i="22"/>
  <c r="G68" i="22"/>
  <c r="H68" i="22"/>
  <c r="B72" i="9"/>
  <c r="D62" i="39"/>
  <c r="E62" i="39" s="1"/>
  <c r="G60" i="40"/>
  <c r="I60" i="40" s="1"/>
  <c r="B61" i="46"/>
  <c r="H68" i="25"/>
  <c r="D69" i="25"/>
  <c r="E69" i="25" s="1"/>
  <c r="G68" i="25"/>
  <c r="H61" i="38"/>
  <c r="I61" i="38" s="1"/>
  <c r="D63" i="37"/>
  <c r="D65" i="28"/>
  <c r="G64" i="28"/>
  <c r="H64" i="28"/>
  <c r="E61" i="46"/>
  <c r="F61" i="46" s="1"/>
  <c r="D71" i="8"/>
  <c r="G70" i="8"/>
  <c r="H70" i="8"/>
  <c r="D62" i="45"/>
  <c r="D61" i="41"/>
  <c r="E61" i="41" s="1"/>
  <c r="G61" i="39"/>
  <c r="D60" i="43"/>
  <c r="E60" i="43" s="1"/>
  <c r="F72" i="7"/>
  <c r="D61" i="40"/>
  <c r="E61" i="40" s="1"/>
  <c r="D62" i="38"/>
  <c r="E62" i="38" s="1"/>
  <c r="D61" i="42"/>
  <c r="E61" i="42" s="1"/>
  <c r="H62" i="37"/>
  <c r="I62" i="37" s="1"/>
  <c r="G64" i="29"/>
  <c r="H64" i="29"/>
  <c r="D65" i="29"/>
  <c r="E65" i="29" s="1"/>
  <c r="E72" i="9"/>
  <c r="E73" i="9" s="1"/>
  <c r="H61" i="39"/>
  <c r="D144" i="13"/>
  <c r="G143" i="13"/>
  <c r="E150" i="48" l="1"/>
  <c r="B150" i="48"/>
  <c r="I149" i="48"/>
  <c r="H149" i="48"/>
  <c r="F149" i="49"/>
  <c r="D61" i="47"/>
  <c r="E61" i="47"/>
  <c r="F61" i="47" s="1"/>
  <c r="B65" i="49"/>
  <c r="G65" i="49"/>
  <c r="H65" i="49"/>
  <c r="H60" i="48"/>
  <c r="D61" i="48"/>
  <c r="E61" i="48" s="1"/>
  <c r="F61" i="48" s="1"/>
  <c r="B60" i="47"/>
  <c r="G60" i="47"/>
  <c r="H60" i="47"/>
  <c r="E66" i="49"/>
  <c r="F66" i="49" s="1"/>
  <c r="B66" i="49"/>
  <c r="B60" i="48"/>
  <c r="G60" i="48"/>
  <c r="I61" i="44"/>
  <c r="H61" i="13"/>
  <c r="G61" i="13"/>
  <c r="D62" i="13"/>
  <c r="E62" i="44"/>
  <c r="F62" i="44" s="1"/>
  <c r="B62" i="44"/>
  <c r="I66" i="24"/>
  <c r="I67" i="23"/>
  <c r="I65" i="27"/>
  <c r="I70" i="6"/>
  <c r="I63" i="30"/>
  <c r="E66" i="27"/>
  <c r="F66" i="27" s="1"/>
  <c r="B66" i="27"/>
  <c r="I64" i="31"/>
  <c r="I69" i="4"/>
  <c r="I69" i="3"/>
  <c r="D62" i="46"/>
  <c r="E62" i="46" s="1"/>
  <c r="G61" i="46"/>
  <c r="H61" i="46"/>
  <c r="B61" i="40"/>
  <c r="F61" i="40"/>
  <c r="G61" i="40" s="1"/>
  <c r="F61" i="41"/>
  <c r="H61" i="41" s="1"/>
  <c r="B61" i="41"/>
  <c r="I70" i="8"/>
  <c r="I68" i="25"/>
  <c r="F72" i="9"/>
  <c r="I68" i="22"/>
  <c r="B68" i="23"/>
  <c r="B60" i="43"/>
  <c r="F60" i="43"/>
  <c r="H60" i="43" s="1"/>
  <c r="B62" i="45"/>
  <c r="B65" i="28"/>
  <c r="B64" i="30"/>
  <c r="B67" i="24"/>
  <c r="B71" i="6"/>
  <c r="B65" i="31"/>
  <c r="B70" i="3"/>
  <c r="F70" i="3"/>
  <c r="B72" i="11"/>
  <c r="F72" i="11"/>
  <c r="B62" i="38"/>
  <c r="F62" i="38"/>
  <c r="G62" i="38" s="1"/>
  <c r="E62" i="45"/>
  <c r="F62" i="45" s="1"/>
  <c r="B71" i="8"/>
  <c r="E65" i="28"/>
  <c r="F65" i="28" s="1"/>
  <c r="B63" i="37"/>
  <c r="B69" i="22"/>
  <c r="F70" i="4"/>
  <c r="B70" i="4"/>
  <c r="F70" i="5"/>
  <c r="B70" i="5"/>
  <c r="F65" i="29"/>
  <c r="B65" i="29"/>
  <c r="I61" i="39"/>
  <c r="I64" i="29"/>
  <c r="B61" i="42"/>
  <c r="F61" i="42"/>
  <c r="H61" i="42" s="1"/>
  <c r="G72" i="7"/>
  <c r="G73" i="7" s="1"/>
  <c r="H72" i="7"/>
  <c r="E71" i="8"/>
  <c r="F71" i="8" s="1"/>
  <c r="I64" i="28"/>
  <c r="E63" i="37"/>
  <c r="F63" i="37" s="1"/>
  <c r="F69" i="25"/>
  <c r="B69" i="25"/>
  <c r="F62" i="39"/>
  <c r="G62" i="39" s="1"/>
  <c r="B62" i="39"/>
  <c r="E69" i="22"/>
  <c r="F69" i="22" s="1"/>
  <c r="E64" i="30"/>
  <c r="F64" i="30" s="1"/>
  <c r="E67" i="24"/>
  <c r="F67" i="24" s="1"/>
  <c r="E71" i="6"/>
  <c r="F71" i="6" s="1"/>
  <c r="E65" i="31"/>
  <c r="F65" i="31" s="1"/>
  <c r="E68" i="23"/>
  <c r="F68" i="23" s="1"/>
  <c r="I71" i="11"/>
  <c r="H143" i="13"/>
  <c r="I143" i="13"/>
  <c r="B144" i="13"/>
  <c r="E144" i="13"/>
  <c r="F144" i="13" s="1"/>
  <c r="D67" i="49" l="1"/>
  <c r="G66" i="49"/>
  <c r="I60" i="48"/>
  <c r="D150" i="49"/>
  <c r="G149" i="49"/>
  <c r="F150" i="48"/>
  <c r="D62" i="48"/>
  <c r="E62" i="48"/>
  <c r="F62" i="48" s="1"/>
  <c r="E67" i="49"/>
  <c r="F67" i="49" s="1"/>
  <c r="B67" i="49"/>
  <c r="I60" i="47"/>
  <c r="B61" i="48"/>
  <c r="G61" i="48"/>
  <c r="H61" i="48"/>
  <c r="I61" i="48" s="1"/>
  <c r="H66" i="49"/>
  <c r="I66" i="49" s="1"/>
  <c r="G61" i="47"/>
  <c r="D62" i="47"/>
  <c r="E62" i="47" s="1"/>
  <c r="F62" i="47" s="1"/>
  <c r="I65" i="49"/>
  <c r="B61" i="47"/>
  <c r="H61" i="47"/>
  <c r="I61" i="13"/>
  <c r="E62" i="13"/>
  <c r="F62" i="13" s="1"/>
  <c r="B62" i="13"/>
  <c r="G62" i="44"/>
  <c r="H62" i="44"/>
  <c r="D63" i="44"/>
  <c r="I61" i="46"/>
  <c r="H62" i="39"/>
  <c r="I62" i="39" s="1"/>
  <c r="H61" i="40"/>
  <c r="I61" i="40" s="1"/>
  <c r="G61" i="42"/>
  <c r="I61" i="42" s="1"/>
  <c r="G66" i="27"/>
  <c r="H66" i="27"/>
  <c r="D67" i="27"/>
  <c r="H69" i="22"/>
  <c r="G69" i="22"/>
  <c r="D70" i="22"/>
  <c r="E70" i="22" s="1"/>
  <c r="H65" i="28"/>
  <c r="G65" i="28"/>
  <c r="D66" i="28"/>
  <c r="E66" i="28" s="1"/>
  <c r="H71" i="6"/>
  <c r="G71" i="6"/>
  <c r="D72" i="6"/>
  <c r="E72" i="6" s="1"/>
  <c r="E73" i="6" s="1"/>
  <c r="G65" i="31"/>
  <c r="H65" i="31"/>
  <c r="D66" i="31"/>
  <c r="E66" i="31" s="1"/>
  <c r="G67" i="24"/>
  <c r="H67" i="24"/>
  <c r="D68" i="24"/>
  <c r="E68" i="24" s="1"/>
  <c r="D69" i="23"/>
  <c r="E69" i="23" s="1"/>
  <c r="G68" i="23"/>
  <c r="H68" i="23"/>
  <c r="H64" i="30"/>
  <c r="D65" i="30"/>
  <c r="E65" i="30" s="1"/>
  <c r="G64" i="30"/>
  <c r="D64" i="37"/>
  <c r="H63" i="37"/>
  <c r="G63" i="37"/>
  <c r="D63" i="45"/>
  <c r="E63" i="45" s="1"/>
  <c r="G62" i="45"/>
  <c r="H62" i="45"/>
  <c r="D70" i="25"/>
  <c r="E70" i="25" s="1"/>
  <c r="G69" i="25"/>
  <c r="H69" i="25"/>
  <c r="D63" i="38"/>
  <c r="E63" i="38" s="1"/>
  <c r="D71" i="3"/>
  <c r="H70" i="3"/>
  <c r="G70" i="3"/>
  <c r="D61" i="43"/>
  <c r="E61" i="43" s="1"/>
  <c r="I72" i="7"/>
  <c r="I73" i="7" s="1"/>
  <c r="H73" i="7"/>
  <c r="G70" i="5"/>
  <c r="D71" i="5"/>
  <c r="E71" i="5" s="1"/>
  <c r="H70" i="5"/>
  <c r="D62" i="41"/>
  <c r="E62" i="41" s="1"/>
  <c r="D63" i="39"/>
  <c r="E63" i="39" s="1"/>
  <c r="D62" i="42"/>
  <c r="E62" i="42" s="1"/>
  <c r="H62" i="38"/>
  <c r="I62" i="38" s="1"/>
  <c r="H72" i="11"/>
  <c r="G72" i="11"/>
  <c r="G73" i="11" s="1"/>
  <c r="G60" i="43"/>
  <c r="I60" i="43" s="1"/>
  <c r="G61" i="41"/>
  <c r="I61" i="41" s="1"/>
  <c r="D62" i="40"/>
  <c r="E62" i="40" s="1"/>
  <c r="G65" i="29"/>
  <c r="H65" i="29"/>
  <c r="D66" i="29"/>
  <c r="E66" i="29" s="1"/>
  <c r="H70" i="4"/>
  <c r="G70" i="4"/>
  <c r="D71" i="4"/>
  <c r="E71" i="4" s="1"/>
  <c r="H71" i="8"/>
  <c r="G71" i="8"/>
  <c r="D72" i="8"/>
  <c r="E72" i="8" s="1"/>
  <c r="E73" i="8" s="1"/>
  <c r="H72" i="9"/>
  <c r="G72" i="9"/>
  <c r="G73" i="9" s="1"/>
  <c r="F62" i="46"/>
  <c r="H62" i="46" s="1"/>
  <c r="B62" i="46"/>
  <c r="G144" i="13"/>
  <c r="D145" i="13"/>
  <c r="E145" i="13" s="1"/>
  <c r="I61" i="47" l="1"/>
  <c r="H149" i="49"/>
  <c r="I149" i="49"/>
  <c r="G150" i="48"/>
  <c r="D151" i="48"/>
  <c r="E150" i="49"/>
  <c r="B150" i="49"/>
  <c r="H67" i="49"/>
  <c r="D68" i="49"/>
  <c r="E68" i="49" s="1"/>
  <c r="H62" i="47"/>
  <c r="D63" i="47"/>
  <c r="E63" i="47"/>
  <c r="F63" i="47" s="1"/>
  <c r="B62" i="47"/>
  <c r="G62" i="47"/>
  <c r="I62" i="47" s="1"/>
  <c r="G67" i="49"/>
  <c r="H62" i="48"/>
  <c r="D63" i="48"/>
  <c r="B62" i="48"/>
  <c r="G62" i="48"/>
  <c r="I69" i="25"/>
  <c r="I68" i="23"/>
  <c r="G62" i="13"/>
  <c r="H62" i="13"/>
  <c r="D63" i="13"/>
  <c r="I62" i="44"/>
  <c r="I70" i="4"/>
  <c r="E63" i="44"/>
  <c r="F63" i="44" s="1"/>
  <c r="B63" i="44"/>
  <c r="I66" i="27"/>
  <c r="G62" i="46"/>
  <c r="I62" i="46" s="1"/>
  <c r="I63" i="37"/>
  <c r="B67" i="27"/>
  <c r="I71" i="8"/>
  <c r="E67" i="27"/>
  <c r="F67" i="27" s="1"/>
  <c r="I65" i="31"/>
  <c r="I65" i="29"/>
  <c r="I72" i="11"/>
  <c r="I73" i="11" s="1"/>
  <c r="H73" i="11"/>
  <c r="B62" i="41"/>
  <c r="F62" i="41"/>
  <c r="H62" i="41" s="1"/>
  <c r="I70" i="3"/>
  <c r="I62" i="45"/>
  <c r="B63" i="39"/>
  <c r="F63" i="39"/>
  <c r="H63" i="39" s="1"/>
  <c r="F61" i="43"/>
  <c r="G61" i="43" s="1"/>
  <c r="B61" i="43"/>
  <c r="B71" i="3"/>
  <c r="F68" i="24"/>
  <c r="B68" i="24"/>
  <c r="F66" i="31"/>
  <c r="B66" i="31"/>
  <c r="F72" i="6"/>
  <c r="B72" i="6"/>
  <c r="F66" i="28"/>
  <c r="B66" i="28"/>
  <c r="B70" i="22"/>
  <c r="F70" i="22"/>
  <c r="I72" i="9"/>
  <c r="I73" i="9" s="1"/>
  <c r="H73" i="9"/>
  <c r="D63" i="46"/>
  <c r="E63" i="46" s="1"/>
  <c r="B71" i="5"/>
  <c r="F71" i="5"/>
  <c r="E71" i="3"/>
  <c r="F71" i="3" s="1"/>
  <c r="B64" i="37"/>
  <c r="F65" i="30"/>
  <c r="B65" i="30"/>
  <c r="I67" i="24"/>
  <c r="F72" i="8"/>
  <c r="B72" i="8"/>
  <c r="B71" i="4"/>
  <c r="F71" i="4"/>
  <c r="F66" i="29"/>
  <c r="B66" i="29"/>
  <c r="F62" i="40"/>
  <c r="H62" i="40" s="1"/>
  <c r="B62" i="40"/>
  <c r="B62" i="42"/>
  <c r="F62" i="42"/>
  <c r="H62" i="42" s="1"/>
  <c r="B63" i="38"/>
  <c r="F63" i="38"/>
  <c r="G63" i="38" s="1"/>
  <c r="F70" i="25"/>
  <c r="B70" i="25"/>
  <c r="F63" i="45"/>
  <c r="H63" i="45" s="1"/>
  <c r="B63" i="45"/>
  <c r="E64" i="37"/>
  <c r="F64" i="37" s="1"/>
  <c r="H64" i="37" s="1"/>
  <c r="I64" i="30"/>
  <c r="B69" i="23"/>
  <c r="F69" i="23"/>
  <c r="I71" i="6"/>
  <c r="I65" i="28"/>
  <c r="I69" i="22"/>
  <c r="F145" i="13"/>
  <c r="B145" i="13"/>
  <c r="H144" i="13"/>
  <c r="I144" i="13"/>
  <c r="I67" i="49" l="1"/>
  <c r="E151" i="48"/>
  <c r="B151" i="48"/>
  <c r="I150" i="48"/>
  <c r="H150" i="48"/>
  <c r="F150" i="49"/>
  <c r="E63" i="48"/>
  <c r="F63" i="48"/>
  <c r="G63" i="48" s="1"/>
  <c r="B63" i="48"/>
  <c r="D64" i="47"/>
  <c r="E64" i="47"/>
  <c r="F64" i="47" s="1"/>
  <c r="F68" i="49"/>
  <c r="B68" i="49"/>
  <c r="I62" i="48"/>
  <c r="B63" i="47"/>
  <c r="H63" i="47"/>
  <c r="G63" i="47"/>
  <c r="I62" i="13"/>
  <c r="E63" i="13"/>
  <c r="F63" i="13" s="1"/>
  <c r="B63" i="13"/>
  <c r="D64" i="44"/>
  <c r="G63" i="44"/>
  <c r="H63" i="44"/>
  <c r="H63" i="38"/>
  <c r="I63" i="38" s="1"/>
  <c r="G63" i="45"/>
  <c r="I63" i="45" s="1"/>
  <c r="G67" i="27"/>
  <c r="D68" i="27"/>
  <c r="B68" i="27" s="1"/>
  <c r="H67" i="27"/>
  <c r="H61" i="43"/>
  <c r="I61" i="43" s="1"/>
  <c r="G71" i="3"/>
  <c r="H71" i="3"/>
  <c r="D72" i="3"/>
  <c r="E72" i="3" s="1"/>
  <c r="E73" i="3" s="1"/>
  <c r="G69" i="23"/>
  <c r="H69" i="23"/>
  <c r="D70" i="23"/>
  <c r="E70" i="23" s="1"/>
  <c r="H71" i="4"/>
  <c r="D72" i="4"/>
  <c r="E72" i="4" s="1"/>
  <c r="E73" i="4" s="1"/>
  <c r="G71" i="4"/>
  <c r="D72" i="5"/>
  <c r="E72" i="5" s="1"/>
  <c r="E73" i="5" s="1"/>
  <c r="H71" i="5"/>
  <c r="G71" i="5"/>
  <c r="G62" i="41"/>
  <c r="I62" i="41" s="1"/>
  <c r="D71" i="25"/>
  <c r="G70" i="25"/>
  <c r="H70" i="25"/>
  <c r="D63" i="40"/>
  <c r="E63" i="40" s="1"/>
  <c r="D65" i="37"/>
  <c r="E65" i="37" s="1"/>
  <c r="H66" i="28"/>
  <c r="D67" i="28"/>
  <c r="G66" i="28"/>
  <c r="G66" i="31"/>
  <c r="D67" i="31"/>
  <c r="H66" i="31"/>
  <c r="D62" i="43"/>
  <c r="E62" i="43" s="1"/>
  <c r="D63" i="42"/>
  <c r="G65" i="30"/>
  <c r="H65" i="30"/>
  <c r="D66" i="30"/>
  <c r="H70" i="22"/>
  <c r="D71" i="22"/>
  <c r="G70" i="22"/>
  <c r="D64" i="39"/>
  <c r="D63" i="41"/>
  <c r="E63" i="41" s="1"/>
  <c r="D64" i="45"/>
  <c r="E64" i="45" s="1"/>
  <c r="D64" i="38"/>
  <c r="E64" i="38" s="1"/>
  <c r="G62" i="42"/>
  <c r="I62" i="42" s="1"/>
  <c r="G62" i="40"/>
  <c r="I62" i="40" s="1"/>
  <c r="H66" i="29"/>
  <c r="D67" i="29"/>
  <c r="G66" i="29"/>
  <c r="H72" i="8"/>
  <c r="G72" i="8"/>
  <c r="G73" i="8" s="1"/>
  <c r="G64" i="37"/>
  <c r="I64" i="37" s="1"/>
  <c r="B63" i="46"/>
  <c r="F63" i="46"/>
  <c r="G63" i="46" s="1"/>
  <c r="G72" i="6"/>
  <c r="G73" i="6" s="1"/>
  <c r="H72" i="6"/>
  <c r="H68" i="24"/>
  <c r="G68" i="24"/>
  <c r="D69" i="24"/>
  <c r="E69" i="24" s="1"/>
  <c r="G63" i="39"/>
  <c r="I63" i="39" s="1"/>
  <c r="G145" i="13"/>
  <c r="D146" i="13"/>
  <c r="E146" i="13" s="1"/>
  <c r="D151" i="49" l="1"/>
  <c r="G150" i="49"/>
  <c r="E151" i="49"/>
  <c r="F151" i="48"/>
  <c r="G68" i="49"/>
  <c r="D69" i="49"/>
  <c r="H64" i="47"/>
  <c r="D65" i="47"/>
  <c r="H68" i="49"/>
  <c r="I68" i="49" s="1"/>
  <c r="B64" i="47"/>
  <c r="G64" i="47"/>
  <c r="I64" i="47" s="1"/>
  <c r="D64" i="48"/>
  <c r="E64" i="48" s="1"/>
  <c r="F64" i="48" s="1"/>
  <c r="I63" i="47"/>
  <c r="H63" i="48"/>
  <c r="I63" i="48" s="1"/>
  <c r="G63" i="13"/>
  <c r="H63" i="13"/>
  <c r="D64" i="13"/>
  <c r="I63" i="44"/>
  <c r="E64" i="44"/>
  <c r="F64" i="44" s="1"/>
  <c r="B64" i="44"/>
  <c r="I66" i="28"/>
  <c r="I65" i="30"/>
  <c r="I66" i="29"/>
  <c r="I70" i="22"/>
  <c r="E68" i="27"/>
  <c r="F68" i="27" s="1"/>
  <c r="I68" i="24"/>
  <c r="H63" i="46"/>
  <c r="I63" i="46" s="1"/>
  <c r="I67" i="27"/>
  <c r="I72" i="8"/>
  <c r="I73" i="8" s="1"/>
  <c r="H73" i="8"/>
  <c r="B64" i="39"/>
  <c r="B67" i="29"/>
  <c r="E64" i="39"/>
  <c r="F64" i="39" s="1"/>
  <c r="B66" i="30"/>
  <c r="B63" i="42"/>
  <c r="I66" i="31"/>
  <c r="I70" i="25"/>
  <c r="I71" i="3"/>
  <c r="I72" i="6"/>
  <c r="I73" i="6" s="1"/>
  <c r="H73" i="6"/>
  <c r="B71" i="22"/>
  <c r="B67" i="31"/>
  <c r="F69" i="24"/>
  <c r="B69" i="24"/>
  <c r="E67" i="29"/>
  <c r="F67" i="29" s="1"/>
  <c r="B62" i="43"/>
  <c r="F62" i="43"/>
  <c r="G62" i="43" s="1"/>
  <c r="B63" i="40"/>
  <c r="F63" i="40"/>
  <c r="H63" i="40" s="1"/>
  <c r="B71" i="25"/>
  <c r="B72" i="4"/>
  <c r="F72" i="4"/>
  <c r="F70" i="23"/>
  <c r="B70" i="23"/>
  <c r="B64" i="38"/>
  <c r="F64" i="38"/>
  <c r="H64" i="38" s="1"/>
  <c r="B67" i="28"/>
  <c r="D64" i="46"/>
  <c r="E64" i="46" s="1"/>
  <c r="F64" i="45"/>
  <c r="H64" i="45" s="1"/>
  <c r="B64" i="45"/>
  <c r="B63" i="41"/>
  <c r="F63" i="41"/>
  <c r="H63" i="41" s="1"/>
  <c r="E71" i="22"/>
  <c r="F71" i="22" s="1"/>
  <c r="E66" i="30"/>
  <c r="F66" i="30" s="1"/>
  <c r="E63" i="42"/>
  <c r="F63" i="42" s="1"/>
  <c r="E67" i="31"/>
  <c r="F67" i="31" s="1"/>
  <c r="E67" i="28"/>
  <c r="F67" i="28" s="1"/>
  <c r="F65" i="37"/>
  <c r="G65" i="37" s="1"/>
  <c r="B65" i="37"/>
  <c r="E71" i="25"/>
  <c r="F71" i="25" s="1"/>
  <c r="B72" i="5"/>
  <c r="F72" i="5"/>
  <c r="I71" i="4"/>
  <c r="I69" i="23"/>
  <c r="F72" i="3"/>
  <c r="B72" i="3"/>
  <c r="H145" i="13"/>
  <c r="I145" i="13"/>
  <c r="B146" i="13"/>
  <c r="F146" i="13"/>
  <c r="H150" i="49" l="1"/>
  <c r="I150" i="49"/>
  <c r="G151" i="48"/>
  <c r="D152" i="48"/>
  <c r="B152" i="48" s="1"/>
  <c r="F151" i="49"/>
  <c r="B151" i="49"/>
  <c r="H64" i="48"/>
  <c r="D65" i="48"/>
  <c r="E69" i="49"/>
  <c r="F69" i="49" s="1"/>
  <c r="B69" i="49"/>
  <c r="B65" i="47"/>
  <c r="B64" i="48"/>
  <c r="G64" i="48"/>
  <c r="E65" i="47"/>
  <c r="F65" i="47" s="1"/>
  <c r="H65" i="47" s="1"/>
  <c r="I63" i="13"/>
  <c r="E64" i="13"/>
  <c r="F64" i="13" s="1"/>
  <c r="B64" i="13"/>
  <c r="G63" i="41"/>
  <c r="I63" i="41" s="1"/>
  <c r="G64" i="44"/>
  <c r="D65" i="44"/>
  <c r="H64" i="44"/>
  <c r="H68" i="27"/>
  <c r="G68" i="27"/>
  <c r="D69" i="27"/>
  <c r="E69" i="27" s="1"/>
  <c r="D64" i="42"/>
  <c r="E64" i="42" s="1"/>
  <c r="H63" i="42"/>
  <c r="G63" i="42"/>
  <c r="H66" i="30"/>
  <c r="G66" i="30"/>
  <c r="D67" i="30"/>
  <c r="E67" i="30" s="1"/>
  <c r="G67" i="29"/>
  <c r="D68" i="29"/>
  <c r="H67" i="29"/>
  <c r="H67" i="28"/>
  <c r="D68" i="28"/>
  <c r="G67" i="28"/>
  <c r="D68" i="31"/>
  <c r="H67" i="31"/>
  <c r="G67" i="31"/>
  <c r="D65" i="39"/>
  <c r="E65" i="39" s="1"/>
  <c r="H64" i="39"/>
  <c r="G64" i="39"/>
  <c r="G72" i="5"/>
  <c r="G73" i="5" s="1"/>
  <c r="H72" i="5"/>
  <c r="H73" i="5" s="1"/>
  <c r="D65" i="45"/>
  <c r="H72" i="4"/>
  <c r="G72" i="4"/>
  <c r="G73" i="4" s="1"/>
  <c r="D63" i="43"/>
  <c r="E63" i="43" s="1"/>
  <c r="H69" i="24"/>
  <c r="G69" i="24"/>
  <c r="D70" i="24"/>
  <c r="E70" i="24" s="1"/>
  <c r="H70" i="23"/>
  <c r="G70" i="23"/>
  <c r="D71" i="23"/>
  <c r="E71" i="23" s="1"/>
  <c r="D72" i="25"/>
  <c r="E72" i="25" s="1"/>
  <c r="E73" i="25" s="1"/>
  <c r="H71" i="25"/>
  <c r="G71" i="25"/>
  <c r="D66" i="37"/>
  <c r="E66" i="37" s="1"/>
  <c r="D64" i="40"/>
  <c r="E64" i="40" s="1"/>
  <c r="D65" i="38"/>
  <c r="E65" i="38" s="1"/>
  <c r="H71" i="22"/>
  <c r="D72" i="22"/>
  <c r="E72" i="22" s="1"/>
  <c r="E73" i="22" s="1"/>
  <c r="G71" i="22"/>
  <c r="H72" i="3"/>
  <c r="G72" i="3"/>
  <c r="G73" i="3" s="1"/>
  <c r="H65" i="37"/>
  <c r="I65" i="37" s="1"/>
  <c r="D64" i="41"/>
  <c r="E64" i="41" s="1"/>
  <c r="G64" i="45"/>
  <c r="I64" i="45" s="1"/>
  <c r="F64" i="46"/>
  <c r="H64" i="46" s="1"/>
  <c r="B64" i="46"/>
  <c r="G64" i="38"/>
  <c r="I64" i="38" s="1"/>
  <c r="G63" i="40"/>
  <c r="I63" i="40" s="1"/>
  <c r="H62" i="43"/>
  <c r="I62" i="43" s="1"/>
  <c r="G146" i="13"/>
  <c r="D147" i="13"/>
  <c r="E147" i="13" s="1"/>
  <c r="I64" i="48" l="1"/>
  <c r="G151" i="49"/>
  <c r="D152" i="49"/>
  <c r="B152" i="49" s="1"/>
  <c r="H151" i="48"/>
  <c r="I151" i="48"/>
  <c r="E152" i="48"/>
  <c r="F152" i="48" s="1"/>
  <c r="D66" i="47"/>
  <c r="E66" i="47" s="1"/>
  <c r="F66" i="47" s="1"/>
  <c r="G65" i="47"/>
  <c r="I65" i="47" s="1"/>
  <c r="H69" i="49"/>
  <c r="D70" i="49"/>
  <c r="G69" i="49"/>
  <c r="E65" i="48"/>
  <c r="F65" i="48" s="1"/>
  <c r="B65" i="48"/>
  <c r="I64" i="44"/>
  <c r="H64" i="13"/>
  <c r="G64" i="13"/>
  <c r="D65" i="13"/>
  <c r="I67" i="29"/>
  <c r="E65" i="44"/>
  <c r="F65" i="44" s="1"/>
  <c r="B65" i="44"/>
  <c r="I68" i="27"/>
  <c r="I71" i="22"/>
  <c r="I66" i="30"/>
  <c r="B69" i="27"/>
  <c r="F69" i="27"/>
  <c r="F64" i="41"/>
  <c r="G64" i="41" s="1"/>
  <c r="B64" i="41"/>
  <c r="F64" i="40"/>
  <c r="G64" i="40" s="1"/>
  <c r="B64" i="40"/>
  <c r="F70" i="24"/>
  <c r="B70" i="24"/>
  <c r="B63" i="43"/>
  <c r="F63" i="43"/>
  <c r="H63" i="43" s="1"/>
  <c r="B65" i="39"/>
  <c r="F65" i="39"/>
  <c r="G65" i="39" s="1"/>
  <c r="I67" i="31"/>
  <c r="B68" i="28"/>
  <c r="B68" i="29"/>
  <c r="F67" i="30"/>
  <c r="B67" i="30"/>
  <c r="I63" i="42"/>
  <c r="B71" i="23"/>
  <c r="F71" i="23"/>
  <c r="B65" i="38"/>
  <c r="F65" i="38"/>
  <c r="G65" i="38" s="1"/>
  <c r="I71" i="25"/>
  <c r="B65" i="45"/>
  <c r="B68" i="31"/>
  <c r="I67" i="28"/>
  <c r="I72" i="3"/>
  <c r="I73" i="3" s="1"/>
  <c r="H73" i="3"/>
  <c r="D65" i="46"/>
  <c r="G64" i="46"/>
  <c r="I64" i="46" s="1"/>
  <c r="F72" i="22"/>
  <c r="B72" i="22"/>
  <c r="F66" i="37"/>
  <c r="H66" i="37" s="1"/>
  <c r="B66" i="37"/>
  <c r="F72" i="25"/>
  <c r="B72" i="25"/>
  <c r="I70" i="23"/>
  <c r="I69" i="24"/>
  <c r="I72" i="4"/>
  <c r="I73" i="4" s="1"/>
  <c r="H73" i="4"/>
  <c r="E65" i="45"/>
  <c r="F65" i="45" s="1"/>
  <c r="I64" i="39"/>
  <c r="E68" i="31"/>
  <c r="F68" i="31" s="1"/>
  <c r="E68" i="28"/>
  <c r="F68" i="28" s="1"/>
  <c r="E68" i="29"/>
  <c r="F68" i="29" s="1"/>
  <c r="F64" i="42"/>
  <c r="H64" i="42" s="1"/>
  <c r="B64" i="42"/>
  <c r="F147" i="13"/>
  <c r="B147" i="13"/>
  <c r="H146" i="13"/>
  <c r="I146" i="13"/>
  <c r="E152" i="49" l="1"/>
  <c r="F152" i="49" s="1"/>
  <c r="I69" i="49"/>
  <c r="D153" i="49"/>
  <c r="B153" i="49" s="1"/>
  <c r="G152" i="49"/>
  <c r="G152" i="48"/>
  <c r="D153" i="48"/>
  <c r="H151" i="49"/>
  <c r="I151" i="49"/>
  <c r="G65" i="48"/>
  <c r="D66" i="48"/>
  <c r="E66" i="48" s="1"/>
  <c r="F66" i="48" s="1"/>
  <c r="H65" i="48"/>
  <c r="I65" i="48" s="1"/>
  <c r="H66" i="47"/>
  <c r="D67" i="47"/>
  <c r="E67" i="47" s="1"/>
  <c r="F67" i="47" s="1"/>
  <c r="E70" i="49"/>
  <c r="B70" i="49"/>
  <c r="F70" i="49"/>
  <c r="H70" i="49" s="1"/>
  <c r="B66" i="47"/>
  <c r="G66" i="47"/>
  <c r="I64" i="13"/>
  <c r="E65" i="13"/>
  <c r="F65" i="13" s="1"/>
  <c r="H65" i="13" s="1"/>
  <c r="B65" i="13"/>
  <c r="G66" i="37"/>
  <c r="I66" i="37" s="1"/>
  <c r="D66" i="44"/>
  <c r="H65" i="44"/>
  <c r="G65" i="44"/>
  <c r="G63" i="43"/>
  <c r="I63" i="43" s="1"/>
  <c r="H64" i="40"/>
  <c r="I64" i="40" s="1"/>
  <c r="H64" i="41"/>
  <c r="I64" i="41" s="1"/>
  <c r="G69" i="27"/>
  <c r="D70" i="27"/>
  <c r="E70" i="27" s="1"/>
  <c r="H69" i="27"/>
  <c r="H68" i="29"/>
  <c r="G68" i="29"/>
  <c r="D69" i="29"/>
  <c r="E69" i="29" s="1"/>
  <c r="D69" i="28"/>
  <c r="E69" i="28" s="1"/>
  <c r="G68" i="28"/>
  <c r="H68" i="28"/>
  <c r="D66" i="45"/>
  <c r="H65" i="45"/>
  <c r="G65" i="45"/>
  <c r="H68" i="31"/>
  <c r="D69" i="31"/>
  <c r="G68" i="31"/>
  <c r="D65" i="42"/>
  <c r="E65" i="42" s="1"/>
  <c r="H72" i="25"/>
  <c r="G72" i="25"/>
  <c r="G73" i="25" s="1"/>
  <c r="D67" i="37"/>
  <c r="G72" i="22"/>
  <c r="G73" i="22" s="1"/>
  <c r="H72" i="22"/>
  <c r="H65" i="38"/>
  <c r="I65" i="38" s="1"/>
  <c r="D66" i="39"/>
  <c r="E66" i="39" s="1"/>
  <c r="B65" i="46"/>
  <c r="G64" i="42"/>
  <c r="I64" i="42" s="1"/>
  <c r="H65" i="39"/>
  <c r="I65" i="39" s="1"/>
  <c r="D64" i="43"/>
  <c r="E64" i="43" s="1"/>
  <c r="H70" i="24"/>
  <c r="G70" i="24"/>
  <c r="D71" i="24"/>
  <c r="E71" i="24" s="1"/>
  <c r="D65" i="40"/>
  <c r="E65" i="40" s="1"/>
  <c r="D65" i="41"/>
  <c r="E65" i="41" s="1"/>
  <c r="E65" i="46"/>
  <c r="F65" i="46" s="1"/>
  <c r="D66" i="38"/>
  <c r="E66" i="38" s="1"/>
  <c r="G71" i="23"/>
  <c r="D72" i="23"/>
  <c r="E72" i="23" s="1"/>
  <c r="E73" i="23" s="1"/>
  <c r="H71" i="23"/>
  <c r="H67" i="30"/>
  <c r="D68" i="30"/>
  <c r="G67" i="30"/>
  <c r="D148" i="13"/>
  <c r="G147" i="13"/>
  <c r="E153" i="49" l="1"/>
  <c r="F153" i="49" s="1"/>
  <c r="I66" i="47"/>
  <c r="I152" i="49"/>
  <c r="H152" i="49"/>
  <c r="G153" i="49"/>
  <c r="D154" i="49"/>
  <c r="H152" i="48"/>
  <c r="I152" i="48"/>
  <c r="E153" i="48"/>
  <c r="F153" i="48" s="1"/>
  <c r="B153" i="48"/>
  <c r="H66" i="48"/>
  <c r="D67" i="48"/>
  <c r="G67" i="47"/>
  <c r="D68" i="47"/>
  <c r="E68" i="47" s="1"/>
  <c r="F68" i="47" s="1"/>
  <c r="G70" i="49"/>
  <c r="I70" i="49" s="1"/>
  <c r="D71" i="49"/>
  <c r="B67" i="47"/>
  <c r="H67" i="47"/>
  <c r="B66" i="48"/>
  <c r="G66" i="48"/>
  <c r="I66" i="48" s="1"/>
  <c r="G65" i="13"/>
  <c r="I65" i="13" s="1"/>
  <c r="D66" i="13"/>
  <c r="I65" i="44"/>
  <c r="I68" i="28"/>
  <c r="E66" i="44"/>
  <c r="F66" i="44" s="1"/>
  <c r="B66" i="44"/>
  <c r="I71" i="23"/>
  <c r="F70" i="27"/>
  <c r="B70" i="27"/>
  <c r="I69" i="27"/>
  <c r="D66" i="46"/>
  <c r="E66" i="46" s="1"/>
  <c r="H65" i="46"/>
  <c r="G65" i="46"/>
  <c r="B68" i="30"/>
  <c r="I67" i="30"/>
  <c r="F65" i="40"/>
  <c r="H65" i="40" s="1"/>
  <c r="B65" i="40"/>
  <c r="I70" i="24"/>
  <c r="F66" i="39"/>
  <c r="G66" i="39" s="1"/>
  <c r="B66" i="39"/>
  <c r="B67" i="37"/>
  <c r="B69" i="31"/>
  <c r="I65" i="45"/>
  <c r="F69" i="29"/>
  <c r="B69" i="29"/>
  <c r="E68" i="30"/>
  <c r="F68" i="30" s="1"/>
  <c r="E67" i="37"/>
  <c r="F67" i="37" s="1"/>
  <c r="B65" i="42"/>
  <c r="F65" i="42"/>
  <c r="H65" i="42" s="1"/>
  <c r="I68" i="31"/>
  <c r="B66" i="45"/>
  <c r="B72" i="23"/>
  <c r="F72" i="23"/>
  <c r="I72" i="25"/>
  <c r="I73" i="25" s="1"/>
  <c r="H73" i="25"/>
  <c r="F66" i="38"/>
  <c r="H66" i="38" s="1"/>
  <c r="B66" i="38"/>
  <c r="B65" i="41"/>
  <c r="F65" i="41"/>
  <c r="G65" i="41" s="1"/>
  <c r="F71" i="24"/>
  <c r="B71" i="24"/>
  <c r="B64" i="43"/>
  <c r="F64" i="43"/>
  <c r="G64" i="43" s="1"/>
  <c r="I72" i="22"/>
  <c r="I73" i="22" s="1"/>
  <c r="H73" i="22"/>
  <c r="E69" i="31"/>
  <c r="F69" i="31" s="1"/>
  <c r="E66" i="45"/>
  <c r="F66" i="45" s="1"/>
  <c r="F69" i="28"/>
  <c r="B69" i="28"/>
  <c r="I68" i="29"/>
  <c r="I147" i="13"/>
  <c r="H147" i="13"/>
  <c r="B148" i="13"/>
  <c r="E148" i="13"/>
  <c r="F148" i="13" s="1"/>
  <c r="E154" i="49" l="1"/>
  <c r="B154" i="49"/>
  <c r="D154" i="48"/>
  <c r="G153" i="48"/>
  <c r="H153" i="49"/>
  <c r="I153" i="49"/>
  <c r="I67" i="47"/>
  <c r="E67" i="48"/>
  <c r="F67" i="48" s="1"/>
  <c r="B67" i="48"/>
  <c r="H68" i="47"/>
  <c r="D69" i="47"/>
  <c r="B71" i="49"/>
  <c r="E71" i="49"/>
  <c r="F71" i="49" s="1"/>
  <c r="D72" i="49" s="1"/>
  <c r="B68" i="47"/>
  <c r="G68" i="47"/>
  <c r="B66" i="13"/>
  <c r="E66" i="13"/>
  <c r="F66" i="13" s="1"/>
  <c r="G66" i="13" s="1"/>
  <c r="H66" i="44"/>
  <c r="D67" i="44"/>
  <c r="B67" i="44" s="1"/>
  <c r="G66" i="44"/>
  <c r="H64" i="43"/>
  <c r="I64" i="43" s="1"/>
  <c r="G66" i="38"/>
  <c r="I66" i="38" s="1"/>
  <c r="G70" i="27"/>
  <c r="D71" i="27"/>
  <c r="H70" i="27"/>
  <c r="G69" i="31"/>
  <c r="H69" i="31"/>
  <c r="D70" i="31"/>
  <c r="E70" i="31" s="1"/>
  <c r="H68" i="30"/>
  <c r="G68" i="30"/>
  <c r="D69" i="30"/>
  <c r="D68" i="37"/>
  <c r="E68" i="37" s="1"/>
  <c r="H67" i="37"/>
  <c r="G67" i="37"/>
  <c r="D67" i="45"/>
  <c r="E67" i="45" s="1"/>
  <c r="D70" i="29"/>
  <c r="E70" i="29" s="1"/>
  <c r="G69" i="29"/>
  <c r="H69" i="29"/>
  <c r="D66" i="42"/>
  <c r="E66" i="42" s="1"/>
  <c r="H66" i="39"/>
  <c r="I66" i="39" s="1"/>
  <c r="I65" i="46"/>
  <c r="D66" i="40"/>
  <c r="E66" i="40" s="1"/>
  <c r="D65" i="43"/>
  <c r="E65" i="43" s="1"/>
  <c r="H72" i="23"/>
  <c r="G72" i="23"/>
  <c r="G73" i="23" s="1"/>
  <c r="H66" i="45"/>
  <c r="G65" i="42"/>
  <c r="I65" i="42" s="1"/>
  <c r="G65" i="40"/>
  <c r="I65" i="40" s="1"/>
  <c r="H69" i="28"/>
  <c r="D70" i="28"/>
  <c r="E70" i="28" s="1"/>
  <c r="G69" i="28"/>
  <c r="D66" i="41"/>
  <c r="E66" i="41" s="1"/>
  <c r="D72" i="24"/>
  <c r="E72" i="24" s="1"/>
  <c r="E73" i="24" s="1"/>
  <c r="H71" i="24"/>
  <c r="G71" i="24"/>
  <c r="H65" i="41"/>
  <c r="I65" i="41" s="1"/>
  <c r="D67" i="38"/>
  <c r="G66" i="45"/>
  <c r="D67" i="39"/>
  <c r="E67" i="39" s="1"/>
  <c r="F66" i="46"/>
  <c r="B66" i="46"/>
  <c r="D149" i="13"/>
  <c r="G148" i="13"/>
  <c r="G71" i="49" l="1"/>
  <c r="I68" i="47"/>
  <c r="H71" i="49"/>
  <c r="I71" i="49" s="1"/>
  <c r="E154" i="48"/>
  <c r="B154" i="48"/>
  <c r="H153" i="48"/>
  <c r="I153" i="48"/>
  <c r="F154" i="49"/>
  <c r="G154" i="49" s="1"/>
  <c r="E155" i="49"/>
  <c r="B69" i="47"/>
  <c r="D68" i="48"/>
  <c r="E68" i="48" s="1"/>
  <c r="F68" i="48" s="1"/>
  <c r="H67" i="48"/>
  <c r="E72" i="49"/>
  <c r="E73" i="49" s="1"/>
  <c r="B72" i="49"/>
  <c r="E69" i="47"/>
  <c r="F69" i="47" s="1"/>
  <c r="G67" i="48"/>
  <c r="I66" i="44"/>
  <c r="D67" i="13"/>
  <c r="H66" i="13"/>
  <c r="I66" i="13" s="1"/>
  <c r="E67" i="44"/>
  <c r="F67" i="44" s="1"/>
  <c r="G67" i="44" s="1"/>
  <c r="I69" i="29"/>
  <c r="E71" i="27"/>
  <c r="F71" i="27" s="1"/>
  <c r="B71" i="27"/>
  <c r="I67" i="37"/>
  <c r="I71" i="24"/>
  <c r="I70" i="27"/>
  <c r="D67" i="46"/>
  <c r="B69" i="30"/>
  <c r="H66" i="46"/>
  <c r="F72" i="24"/>
  <c r="B72" i="24"/>
  <c r="I72" i="23"/>
  <c r="I73" i="23" s="1"/>
  <c r="H73" i="23"/>
  <c r="F66" i="40"/>
  <c r="B66" i="40"/>
  <c r="B70" i="31"/>
  <c r="F70" i="31"/>
  <c r="B67" i="38"/>
  <c r="F70" i="28"/>
  <c r="B70" i="28"/>
  <c r="F66" i="42"/>
  <c r="H66" i="42" s="1"/>
  <c r="B66" i="42"/>
  <c r="F67" i="45"/>
  <c r="B67" i="45"/>
  <c r="F68" i="37"/>
  <c r="H68" i="37" s="1"/>
  <c r="B68" i="37"/>
  <c r="I68" i="30"/>
  <c r="I69" i="31"/>
  <c r="G66" i="46"/>
  <c r="F67" i="39"/>
  <c r="G67" i="39" s="1"/>
  <c r="B67" i="39"/>
  <c r="E67" i="38"/>
  <c r="F67" i="38" s="1"/>
  <c r="F66" i="41"/>
  <c r="B66" i="41"/>
  <c r="I69" i="28"/>
  <c r="I66" i="45"/>
  <c r="F65" i="43"/>
  <c r="H65" i="43" s="1"/>
  <c r="B65" i="43"/>
  <c r="B70" i="29"/>
  <c r="F70" i="29"/>
  <c r="E69" i="30"/>
  <c r="F69" i="30" s="1"/>
  <c r="B149" i="13"/>
  <c r="E149" i="13"/>
  <c r="F149" i="13" s="1"/>
  <c r="I148" i="13"/>
  <c r="H148" i="13"/>
  <c r="I154" i="49" l="1"/>
  <c r="I155" i="49" s="1"/>
  <c r="H154" i="49"/>
  <c r="H155" i="49" s="1"/>
  <c r="F154" i="48"/>
  <c r="G154" i="48" s="1"/>
  <c r="E155" i="48"/>
  <c r="H68" i="48"/>
  <c r="D69" i="48"/>
  <c r="D70" i="47"/>
  <c r="E70" i="47"/>
  <c r="F70" i="47" s="1"/>
  <c r="I67" i="48"/>
  <c r="G69" i="47"/>
  <c r="H69" i="47"/>
  <c r="F72" i="49"/>
  <c r="B68" i="48"/>
  <c r="G68" i="48"/>
  <c r="I68" i="48" s="1"/>
  <c r="E67" i="13"/>
  <c r="F67" i="13" s="1"/>
  <c r="H67" i="13" s="1"/>
  <c r="B67" i="13"/>
  <c r="H67" i="44"/>
  <c r="I67" i="44" s="1"/>
  <c r="D68" i="44"/>
  <c r="G66" i="42"/>
  <c r="I66" i="42" s="1"/>
  <c r="G71" i="27"/>
  <c r="D72" i="27"/>
  <c r="H71" i="27"/>
  <c r="H69" i="30"/>
  <c r="D70" i="30"/>
  <c r="G69" i="30"/>
  <c r="D68" i="38"/>
  <c r="D67" i="40"/>
  <c r="E67" i="40" s="1"/>
  <c r="G72" i="24"/>
  <c r="G73" i="24" s="1"/>
  <c r="H72" i="24"/>
  <c r="D71" i="29"/>
  <c r="G70" i="29"/>
  <c r="H70" i="29"/>
  <c r="D68" i="39"/>
  <c r="E68" i="39" s="1"/>
  <c r="G66" i="40"/>
  <c r="I66" i="46"/>
  <c r="D67" i="41"/>
  <c r="D68" i="45"/>
  <c r="E68" i="45" s="1"/>
  <c r="D66" i="43"/>
  <c r="G66" i="41"/>
  <c r="H67" i="45"/>
  <c r="G70" i="28"/>
  <c r="D71" i="28"/>
  <c r="E71" i="28" s="1"/>
  <c r="H70" i="28"/>
  <c r="G67" i="38"/>
  <c r="H66" i="40"/>
  <c r="B67" i="46"/>
  <c r="D69" i="37"/>
  <c r="G65" i="43"/>
  <c r="I65" i="43" s="1"/>
  <c r="H66" i="41"/>
  <c r="H67" i="39"/>
  <c r="I67" i="39" s="1"/>
  <c r="G68" i="37"/>
  <c r="I68" i="37" s="1"/>
  <c r="G67" i="45"/>
  <c r="D67" i="42"/>
  <c r="E67" i="42" s="1"/>
  <c r="H67" i="38"/>
  <c r="G70" i="31"/>
  <c r="H70" i="31"/>
  <c r="D71" i="31"/>
  <c r="E71" i="31" s="1"/>
  <c r="E67" i="46"/>
  <c r="F67" i="46" s="1"/>
  <c r="D150" i="13"/>
  <c r="G149" i="13"/>
  <c r="H154" i="48" l="1"/>
  <c r="H155" i="48" s="1"/>
  <c r="I154" i="48"/>
  <c r="I155" i="48" s="1"/>
  <c r="H72" i="49"/>
  <c r="G72" i="49"/>
  <c r="G73" i="49" s="1"/>
  <c r="H70" i="47"/>
  <c r="D71" i="47"/>
  <c r="I69" i="47"/>
  <c r="B70" i="47"/>
  <c r="G70" i="47"/>
  <c r="I70" i="47" s="1"/>
  <c r="E69" i="48"/>
  <c r="F69" i="48"/>
  <c r="G69" i="48" s="1"/>
  <c r="B69" i="48"/>
  <c r="D68" i="13"/>
  <c r="G67" i="13"/>
  <c r="I67" i="13" s="1"/>
  <c r="E68" i="44"/>
  <c r="F68" i="44" s="1"/>
  <c r="B68" i="44"/>
  <c r="I66" i="40"/>
  <c r="I69" i="30"/>
  <c r="I66" i="41"/>
  <c r="B72" i="27"/>
  <c r="E72" i="27"/>
  <c r="E73" i="27" s="1"/>
  <c r="I71" i="27"/>
  <c r="D68" i="46"/>
  <c r="E68" i="46" s="1"/>
  <c r="G67" i="46"/>
  <c r="H67" i="46"/>
  <c r="B67" i="41"/>
  <c r="B70" i="30"/>
  <c r="I67" i="38"/>
  <c r="I67" i="45"/>
  <c r="F68" i="39"/>
  <c r="B68" i="39"/>
  <c r="B71" i="29"/>
  <c r="B69" i="37"/>
  <c r="B71" i="31"/>
  <c r="F71" i="31"/>
  <c r="I70" i="28"/>
  <c r="B68" i="45"/>
  <c r="F68" i="45"/>
  <c r="H68" i="45" s="1"/>
  <c r="E71" i="29"/>
  <c r="F71" i="29" s="1"/>
  <c r="B67" i="40"/>
  <c r="F67" i="40"/>
  <c r="H67" i="40" s="1"/>
  <c r="E70" i="30"/>
  <c r="F70" i="30" s="1"/>
  <c r="B66" i="43"/>
  <c r="B68" i="38"/>
  <c r="I70" i="31"/>
  <c r="B67" i="42"/>
  <c r="F67" i="42"/>
  <c r="H67" i="42" s="1"/>
  <c r="E69" i="37"/>
  <c r="F69" i="37" s="1"/>
  <c r="B71" i="28"/>
  <c r="F71" i="28"/>
  <c r="E66" i="43"/>
  <c r="F66" i="43" s="1"/>
  <c r="E67" i="41"/>
  <c r="F67" i="41" s="1"/>
  <c r="I70" i="29"/>
  <c r="I72" i="24"/>
  <c r="I73" i="24" s="1"/>
  <c r="H73" i="24"/>
  <c r="E68" i="38"/>
  <c r="F68" i="38" s="1"/>
  <c r="B150" i="13"/>
  <c r="H149" i="13"/>
  <c r="I149" i="13"/>
  <c r="E150" i="13"/>
  <c r="F150" i="13" s="1"/>
  <c r="B71" i="47" l="1"/>
  <c r="D70" i="48"/>
  <c r="H69" i="48"/>
  <c r="I69" i="48" s="1"/>
  <c r="E71" i="47"/>
  <c r="F71" i="47" s="1"/>
  <c r="I72" i="49"/>
  <c r="I73" i="49" s="1"/>
  <c r="H73" i="49"/>
  <c r="E68" i="13"/>
  <c r="F68" i="13" s="1"/>
  <c r="B68" i="13"/>
  <c r="H68" i="44"/>
  <c r="G68" i="44"/>
  <c r="D69" i="44"/>
  <c r="I67" i="46"/>
  <c r="G68" i="45"/>
  <c r="I68" i="45" s="1"/>
  <c r="F72" i="27"/>
  <c r="G70" i="30"/>
  <c r="H70" i="30"/>
  <c r="D71" i="30"/>
  <c r="E71" i="30" s="1"/>
  <c r="D67" i="43"/>
  <c r="E67" i="43" s="1"/>
  <c r="H66" i="43"/>
  <c r="G66" i="43"/>
  <c r="D72" i="29"/>
  <c r="E72" i="29" s="1"/>
  <c r="E73" i="29" s="1"/>
  <c r="H71" i="29"/>
  <c r="G71" i="29"/>
  <c r="D69" i="38"/>
  <c r="E69" i="38" s="1"/>
  <c r="H68" i="38"/>
  <c r="G68" i="38"/>
  <c r="D68" i="41"/>
  <c r="E68" i="41" s="1"/>
  <c r="G67" i="41"/>
  <c r="H67" i="41"/>
  <c r="D70" i="37"/>
  <c r="E70" i="37" s="1"/>
  <c r="G69" i="37"/>
  <c r="H69" i="37"/>
  <c r="D68" i="40"/>
  <c r="E68" i="40" s="1"/>
  <c r="D69" i="39"/>
  <c r="H71" i="28"/>
  <c r="G71" i="28"/>
  <c r="D72" i="28"/>
  <c r="D68" i="42"/>
  <c r="E68" i="42" s="1"/>
  <c r="G68" i="39"/>
  <c r="G67" i="42"/>
  <c r="I67" i="42" s="1"/>
  <c r="G67" i="40"/>
  <c r="I67" i="40" s="1"/>
  <c r="D69" i="45"/>
  <c r="G71" i="31"/>
  <c r="D72" i="31"/>
  <c r="E72" i="31" s="1"/>
  <c r="E73" i="31" s="1"/>
  <c r="H71" i="31"/>
  <c r="H68" i="39"/>
  <c r="F68" i="46"/>
  <c r="H68" i="46" s="1"/>
  <c r="B68" i="46"/>
  <c r="G150" i="13"/>
  <c r="D151" i="13"/>
  <c r="B70" i="48" l="1"/>
  <c r="D72" i="47"/>
  <c r="E72" i="47" s="1"/>
  <c r="E73" i="47" s="1"/>
  <c r="G71" i="47"/>
  <c r="H71" i="47"/>
  <c r="E70" i="48"/>
  <c r="F70" i="48" s="1"/>
  <c r="H68" i="13"/>
  <c r="D69" i="13"/>
  <c r="G68" i="13"/>
  <c r="I68" i="44"/>
  <c r="I67" i="41"/>
  <c r="E69" i="44"/>
  <c r="F69" i="44" s="1"/>
  <c r="B69" i="44"/>
  <c r="I68" i="39"/>
  <c r="I70" i="30"/>
  <c r="I69" i="37"/>
  <c r="I71" i="28"/>
  <c r="H72" i="27"/>
  <c r="G72" i="27"/>
  <c r="G73" i="27" s="1"/>
  <c r="B69" i="45"/>
  <c r="B69" i="39"/>
  <c r="G68" i="46"/>
  <c r="I68" i="46" s="1"/>
  <c r="I68" i="38"/>
  <c r="I66" i="43"/>
  <c r="F71" i="30"/>
  <c r="B71" i="30"/>
  <c r="I71" i="31"/>
  <c r="F68" i="42"/>
  <c r="H68" i="42" s="1"/>
  <c r="B68" i="42"/>
  <c r="B68" i="40"/>
  <c r="F68" i="40"/>
  <c r="H68" i="40" s="1"/>
  <c r="I71" i="29"/>
  <c r="B72" i="28"/>
  <c r="D69" i="46"/>
  <c r="E69" i="46" s="1"/>
  <c r="F72" i="31"/>
  <c r="B72" i="31"/>
  <c r="E69" i="45"/>
  <c r="F69" i="45" s="1"/>
  <c r="E72" i="28"/>
  <c r="E73" i="28" s="1"/>
  <c r="E69" i="39"/>
  <c r="F69" i="39" s="1"/>
  <c r="B70" i="37"/>
  <c r="F70" i="37"/>
  <c r="G70" i="37" s="1"/>
  <c r="B68" i="41"/>
  <c r="F68" i="41"/>
  <c r="H68" i="41" s="1"/>
  <c r="B69" i="38"/>
  <c r="F69" i="38"/>
  <c r="F72" i="29"/>
  <c r="B72" i="29"/>
  <c r="B67" i="43"/>
  <c r="F67" i="43"/>
  <c r="H67" i="43" s="1"/>
  <c r="B151" i="13"/>
  <c r="H150" i="13"/>
  <c r="I150" i="13"/>
  <c r="E151" i="13"/>
  <c r="F151" i="13" s="1"/>
  <c r="I71" i="47" l="1"/>
  <c r="H70" i="48"/>
  <c r="D71" i="48"/>
  <c r="E71" i="48"/>
  <c r="F71" i="48" s="1"/>
  <c r="B72" i="47"/>
  <c r="F72" i="47"/>
  <c r="G72" i="47"/>
  <c r="G73" i="47" s="1"/>
  <c r="H72" i="47"/>
  <c r="G70" i="48"/>
  <c r="E69" i="13"/>
  <c r="F69" i="13" s="1"/>
  <c r="B69" i="13"/>
  <c r="I68" i="13"/>
  <c r="H69" i="44"/>
  <c r="D70" i="44"/>
  <c r="G69" i="44"/>
  <c r="H70" i="37"/>
  <c r="I70" i="37" s="1"/>
  <c r="G68" i="40"/>
  <c r="I68" i="40" s="1"/>
  <c r="G67" i="43"/>
  <c r="I67" i="43" s="1"/>
  <c r="H73" i="27"/>
  <c r="I72" i="27"/>
  <c r="I73" i="27" s="1"/>
  <c r="G68" i="42"/>
  <c r="I68" i="42" s="1"/>
  <c r="D70" i="45"/>
  <c r="E70" i="45" s="1"/>
  <c r="H69" i="45"/>
  <c r="G69" i="45"/>
  <c r="D70" i="39"/>
  <c r="E70" i="39" s="1"/>
  <c r="G69" i="39"/>
  <c r="H69" i="39"/>
  <c r="D69" i="41"/>
  <c r="D70" i="38"/>
  <c r="E70" i="38" s="1"/>
  <c r="D68" i="43"/>
  <c r="E68" i="43" s="1"/>
  <c r="H69" i="38"/>
  <c r="G68" i="41"/>
  <c r="I68" i="41" s="1"/>
  <c r="D71" i="37"/>
  <c r="E71" i="37" s="1"/>
  <c r="H72" i="31"/>
  <c r="G72" i="31"/>
  <c r="G73" i="31" s="1"/>
  <c r="F72" i="28"/>
  <c r="D69" i="40"/>
  <c r="E69" i="40" s="1"/>
  <c r="G72" i="29"/>
  <c r="G73" i="29" s="1"/>
  <c r="H72" i="29"/>
  <c r="G69" i="38"/>
  <c r="B69" i="46"/>
  <c r="F69" i="46"/>
  <c r="G69" i="46" s="1"/>
  <c r="D69" i="42"/>
  <c r="E69" i="42" s="1"/>
  <c r="H71" i="30"/>
  <c r="G71" i="30"/>
  <c r="D72" i="30"/>
  <c r="E72" i="30" s="1"/>
  <c r="E73" i="30" s="1"/>
  <c r="D152" i="13"/>
  <c r="G151" i="13"/>
  <c r="I70" i="48" l="1"/>
  <c r="I72" i="47"/>
  <c r="I73" i="47" s="1"/>
  <c r="H73" i="47"/>
  <c r="D72" i="48"/>
  <c r="E72" i="48" s="1"/>
  <c r="E73" i="48" s="1"/>
  <c r="B71" i="48"/>
  <c r="G71" i="48"/>
  <c r="H71" i="48"/>
  <c r="I69" i="44"/>
  <c r="G69" i="13"/>
  <c r="D70" i="13"/>
  <c r="H69" i="13"/>
  <c r="E70" i="44"/>
  <c r="F70" i="44" s="1"/>
  <c r="B70" i="44"/>
  <c r="I69" i="39"/>
  <c r="H69" i="46"/>
  <c r="I69" i="46" s="1"/>
  <c r="I71" i="30"/>
  <c r="I72" i="31"/>
  <c r="I73" i="31" s="1"/>
  <c r="H73" i="31"/>
  <c r="I69" i="38"/>
  <c r="F70" i="38"/>
  <c r="H70" i="38" s="1"/>
  <c r="B70" i="38"/>
  <c r="I69" i="45"/>
  <c r="B69" i="41"/>
  <c r="D70" i="46"/>
  <c r="E70" i="46" s="1"/>
  <c r="I72" i="29"/>
  <c r="I73" i="29" s="1"/>
  <c r="H73" i="29"/>
  <c r="B69" i="40"/>
  <c r="F69" i="40"/>
  <c r="B72" i="30"/>
  <c r="F72" i="30"/>
  <c r="F69" i="42"/>
  <c r="G69" i="42" s="1"/>
  <c r="B69" i="42"/>
  <c r="H72" i="28"/>
  <c r="G72" i="28"/>
  <c r="G73" i="28" s="1"/>
  <c r="B71" i="37"/>
  <c r="F71" i="37"/>
  <c r="G71" i="37" s="1"/>
  <c r="B68" i="43"/>
  <c r="F68" i="43"/>
  <c r="G68" i="43" s="1"/>
  <c r="E69" i="41"/>
  <c r="F69" i="41" s="1"/>
  <c r="B70" i="39"/>
  <c r="F70" i="39"/>
  <c r="G70" i="39" s="1"/>
  <c r="F70" i="45"/>
  <c r="H70" i="45" s="1"/>
  <c r="B70" i="45"/>
  <c r="B152" i="13"/>
  <c r="H151" i="13"/>
  <c r="I151" i="13"/>
  <c r="E152" i="13"/>
  <c r="F152" i="13" s="1"/>
  <c r="I71" i="48" l="1"/>
  <c r="B72" i="48"/>
  <c r="F72" i="48"/>
  <c r="G72" i="48" s="1"/>
  <c r="G73" i="48" s="1"/>
  <c r="H72" i="48"/>
  <c r="I69" i="13"/>
  <c r="B70" i="13"/>
  <c r="E70" i="13"/>
  <c r="F70" i="13" s="1"/>
  <c r="G70" i="13" s="1"/>
  <c r="G70" i="38"/>
  <c r="I70" i="38" s="1"/>
  <c r="H70" i="44"/>
  <c r="D71" i="44"/>
  <c r="G70" i="44"/>
  <c r="H70" i="39"/>
  <c r="I70" i="39" s="1"/>
  <c r="H68" i="43"/>
  <c r="I68" i="43" s="1"/>
  <c r="H71" i="37"/>
  <c r="D71" i="45"/>
  <c r="E71" i="45" s="1"/>
  <c r="H72" i="30"/>
  <c r="G72" i="30"/>
  <c r="G73" i="30" s="1"/>
  <c r="I72" i="28"/>
  <c r="I73" i="28" s="1"/>
  <c r="H73" i="28"/>
  <c r="D70" i="40"/>
  <c r="E70" i="40" s="1"/>
  <c r="D70" i="41"/>
  <c r="E70" i="41" s="1"/>
  <c r="I71" i="37"/>
  <c r="G69" i="40"/>
  <c r="B70" i="46"/>
  <c r="F70" i="46"/>
  <c r="H70" i="46" s="1"/>
  <c r="G69" i="41"/>
  <c r="D70" i="42"/>
  <c r="G70" i="45"/>
  <c r="I70" i="45" s="1"/>
  <c r="D71" i="39"/>
  <c r="E71" i="39" s="1"/>
  <c r="D69" i="43"/>
  <c r="E69" i="43" s="1"/>
  <c r="D72" i="37"/>
  <c r="H69" i="42"/>
  <c r="I69" i="42" s="1"/>
  <c r="H69" i="40"/>
  <c r="H69" i="41"/>
  <c r="D71" i="38"/>
  <c r="E71" i="38" s="1"/>
  <c r="D153" i="13"/>
  <c r="E153" i="13" s="1"/>
  <c r="G152" i="13"/>
  <c r="I72" i="48" l="1"/>
  <c r="I73" i="48" s="1"/>
  <c r="H73" i="48"/>
  <c r="I70" i="44"/>
  <c r="H70" i="13"/>
  <c r="I70" i="13" s="1"/>
  <c r="D71" i="13"/>
  <c r="E71" i="44"/>
  <c r="F71" i="44" s="1"/>
  <c r="B71" i="44"/>
  <c r="I69" i="41"/>
  <c r="I69" i="40"/>
  <c r="G70" i="46"/>
  <c r="I70" i="46" s="1"/>
  <c r="F71" i="39"/>
  <c r="G71" i="39" s="1"/>
  <c r="B71" i="39"/>
  <c r="F70" i="41"/>
  <c r="H70" i="41" s="1"/>
  <c r="B70" i="41"/>
  <c r="B70" i="42"/>
  <c r="B69" i="43"/>
  <c r="F69" i="43"/>
  <c r="H69" i="43" s="1"/>
  <c r="F71" i="45"/>
  <c r="B71" i="45"/>
  <c r="B72" i="37"/>
  <c r="I72" i="30"/>
  <c r="I73" i="30" s="1"/>
  <c r="H73" i="30"/>
  <c r="F71" i="38"/>
  <c r="H71" i="38" s="1"/>
  <c r="B71" i="38"/>
  <c r="E72" i="37"/>
  <c r="E73" i="37" s="1"/>
  <c r="E70" i="42"/>
  <c r="F70" i="42" s="1"/>
  <c r="G70" i="42" s="1"/>
  <c r="D71" i="46"/>
  <c r="F70" i="40"/>
  <c r="G70" i="40" s="1"/>
  <c r="B70" i="40"/>
  <c r="I152" i="13"/>
  <c r="H152" i="13"/>
  <c r="B153" i="13"/>
  <c r="F153" i="13"/>
  <c r="G70" i="41" l="1"/>
  <c r="I70" i="41" s="1"/>
  <c r="B71" i="13"/>
  <c r="E71" i="13"/>
  <c r="F71" i="13" s="1"/>
  <c r="G71" i="13" s="1"/>
  <c r="H71" i="44"/>
  <c r="D72" i="44"/>
  <c r="G71" i="44"/>
  <c r="H71" i="39"/>
  <c r="I71" i="39" s="1"/>
  <c r="H70" i="40"/>
  <c r="I70" i="40" s="1"/>
  <c r="G69" i="43"/>
  <c r="I69" i="43" s="1"/>
  <c r="D72" i="45"/>
  <c r="E72" i="45" s="1"/>
  <c r="E73" i="45" s="1"/>
  <c r="B71" i="46"/>
  <c r="F72" i="37"/>
  <c r="G71" i="45"/>
  <c r="D72" i="38"/>
  <c r="E72" i="38" s="1"/>
  <c r="E73" i="38" s="1"/>
  <c r="D71" i="42"/>
  <c r="E71" i="42" s="1"/>
  <c r="E71" i="46"/>
  <c r="F71" i="46" s="1"/>
  <c r="H71" i="45"/>
  <c r="D70" i="43"/>
  <c r="E70" i="43" s="1"/>
  <c r="D71" i="40"/>
  <c r="G71" i="38"/>
  <c r="I71" i="38" s="1"/>
  <c r="H70" i="42"/>
  <c r="I70" i="42" s="1"/>
  <c r="D71" i="41"/>
  <c r="D72" i="39"/>
  <c r="E72" i="39" s="1"/>
  <c r="E73" i="39" s="1"/>
  <c r="D154" i="13"/>
  <c r="E154" i="13" s="1"/>
  <c r="E155" i="13" s="1"/>
  <c r="G153" i="13"/>
  <c r="I71" i="44" l="1"/>
  <c r="H71" i="13"/>
  <c r="I71" i="13" s="1"/>
  <c r="D72" i="13"/>
  <c r="E72" i="44"/>
  <c r="E73" i="44" s="1"/>
  <c r="B72" i="44"/>
  <c r="I71" i="45"/>
  <c r="B71" i="40"/>
  <c r="D72" i="46"/>
  <c r="F72" i="38"/>
  <c r="H72" i="38" s="1"/>
  <c r="B72" i="38"/>
  <c r="H71" i="46"/>
  <c r="B71" i="41"/>
  <c r="H72" i="37"/>
  <c r="G72" i="37"/>
  <c r="G73" i="37" s="1"/>
  <c r="B72" i="39"/>
  <c r="F72" i="39"/>
  <c r="G72" i="39" s="1"/>
  <c r="G73" i="39" s="1"/>
  <c r="F72" i="45"/>
  <c r="H72" i="45" s="1"/>
  <c r="B72" i="45"/>
  <c r="E71" i="41"/>
  <c r="F71" i="41" s="1"/>
  <c r="E71" i="40"/>
  <c r="F71" i="40" s="1"/>
  <c r="F70" i="43"/>
  <c r="H70" i="43" s="1"/>
  <c r="B70" i="43"/>
  <c r="F71" i="42"/>
  <c r="G71" i="42" s="1"/>
  <c r="B71" i="42"/>
  <c r="G71" i="46"/>
  <c r="I153" i="13"/>
  <c r="H153" i="13"/>
  <c r="F154" i="13"/>
  <c r="G154" i="13" s="1"/>
  <c r="B154" i="13"/>
  <c r="B72" i="13" l="1"/>
  <c r="E72" i="13"/>
  <c r="E73" i="13" s="1"/>
  <c r="F72" i="44"/>
  <c r="G72" i="44" s="1"/>
  <c r="G73" i="44" s="1"/>
  <c r="G72" i="45"/>
  <c r="G73" i="45" s="1"/>
  <c r="H71" i="42"/>
  <c r="I71" i="42" s="1"/>
  <c r="G70" i="43"/>
  <c r="I70" i="43" s="1"/>
  <c r="H72" i="39"/>
  <c r="I72" i="39" s="1"/>
  <c r="I73" i="39" s="1"/>
  <c r="D72" i="40"/>
  <c r="E72" i="40" s="1"/>
  <c r="E73" i="40" s="1"/>
  <c r="G71" i="40"/>
  <c r="H71" i="40"/>
  <c r="D72" i="41"/>
  <c r="E72" i="41" s="1"/>
  <c r="E73" i="41" s="1"/>
  <c r="H71" i="41"/>
  <c r="G71" i="41"/>
  <c r="H73" i="38"/>
  <c r="D72" i="42"/>
  <c r="E72" i="42" s="1"/>
  <c r="E73" i="42" s="1"/>
  <c r="D71" i="43"/>
  <c r="E71" i="43" s="1"/>
  <c r="I71" i="46"/>
  <c r="G72" i="38"/>
  <c r="G73" i="38" s="1"/>
  <c r="H73" i="45"/>
  <c r="I72" i="37"/>
  <c r="I73" i="37" s="1"/>
  <c r="H73" i="37"/>
  <c r="B72" i="46"/>
  <c r="E72" i="46"/>
  <c r="E73" i="46" s="1"/>
  <c r="H154" i="13"/>
  <c r="H155" i="13" s="1"/>
  <c r="I154" i="13"/>
  <c r="I155" i="13" s="1"/>
  <c r="F72" i="13" l="1"/>
  <c r="I72" i="45"/>
  <c r="I73" i="45" s="1"/>
  <c r="H72" i="44"/>
  <c r="H73" i="44" s="1"/>
  <c r="H73" i="39"/>
  <c r="F72" i="46"/>
  <c r="G72" i="46" s="1"/>
  <c r="G73" i="46" s="1"/>
  <c r="I71" i="40"/>
  <c r="F71" i="43"/>
  <c r="H71" i="43" s="1"/>
  <c r="B71" i="43"/>
  <c r="I71" i="41"/>
  <c r="F72" i="42"/>
  <c r="H72" i="42" s="1"/>
  <c r="B72" i="42"/>
  <c r="I72" i="38"/>
  <c r="I73" i="38" s="1"/>
  <c r="B72" i="41"/>
  <c r="F72" i="41"/>
  <c r="H72" i="41" s="1"/>
  <c r="B72" i="40"/>
  <c r="F72" i="40"/>
  <c r="H72" i="40" s="1"/>
  <c r="H72" i="46" l="1"/>
  <c r="H73" i="46" s="1"/>
  <c r="I72" i="44"/>
  <c r="I73" i="44" s="1"/>
  <c r="G72" i="13"/>
  <c r="G73" i="13" s="1"/>
  <c r="H72" i="13"/>
  <c r="G71" i="43"/>
  <c r="G72" i="40"/>
  <c r="G73" i="40" s="1"/>
  <c r="G72" i="41"/>
  <c r="G73" i="41" s="1"/>
  <c r="G72" i="42"/>
  <c r="G73" i="42" s="1"/>
  <c r="I71" i="43"/>
  <c r="H73" i="42"/>
  <c r="H73" i="41"/>
  <c r="H73" i="40"/>
  <c r="I72" i="46"/>
  <c r="I73" i="46" s="1"/>
  <c r="D72" i="43"/>
  <c r="E72" i="43" s="1"/>
  <c r="E73" i="43" s="1"/>
  <c r="I72" i="13" l="1"/>
  <c r="I73" i="13" s="1"/>
  <c r="H73" i="13"/>
  <c r="I72" i="41"/>
  <c r="I73" i="41" s="1"/>
  <c r="I72" i="40"/>
  <c r="I73" i="40" s="1"/>
  <c r="I72" i="42"/>
  <c r="I73" i="42" s="1"/>
  <c r="F72" i="43"/>
  <c r="G72" i="43" s="1"/>
  <c r="G73" i="43" s="1"/>
  <c r="B72" i="43"/>
  <c r="F90" i="2"/>
  <c r="F91" i="2" s="1"/>
  <c r="F92" i="2" s="1"/>
  <c r="F93" i="2" s="1"/>
  <c r="D95" i="47" l="1"/>
  <c r="J96" i="47" s="1"/>
  <c r="D95" i="49"/>
  <c r="D95" i="48"/>
  <c r="H72" i="43"/>
  <c r="I72" i="43" s="1"/>
  <c r="I73" i="43" s="1"/>
  <c r="D95" i="44"/>
  <c r="J96" i="44" s="1"/>
  <c r="D95" i="13"/>
  <c r="D95" i="38"/>
  <c r="J96" i="38" s="1"/>
  <c r="D95" i="45"/>
  <c r="J96" i="45" s="1"/>
  <c r="D95" i="46"/>
  <c r="J96" i="46" s="1"/>
  <c r="D95" i="42"/>
  <c r="J96" i="42" s="1"/>
  <c r="D95" i="41"/>
  <c r="J96" i="41" s="1"/>
  <c r="D95" i="11"/>
  <c r="J96" i="11" s="1"/>
  <c r="D95" i="25"/>
  <c r="J96" i="25" s="1"/>
  <c r="D95" i="23"/>
  <c r="J96" i="23" s="1"/>
  <c r="D95" i="9"/>
  <c r="J96" i="9" s="1"/>
  <c r="E113" i="9" s="1"/>
  <c r="F113" i="9" s="1"/>
  <c r="G113" i="9" s="1"/>
  <c r="H113" i="9" s="1"/>
  <c r="D95" i="7"/>
  <c r="J96" i="7" s="1"/>
  <c r="D95" i="24"/>
  <c r="J96" i="24" s="1"/>
  <c r="D95" i="6"/>
  <c r="J96" i="6" s="1"/>
  <c r="D95" i="29"/>
  <c r="J96" i="29" s="1"/>
  <c r="D95" i="22"/>
  <c r="J96" i="22" s="1"/>
  <c r="D95" i="10"/>
  <c r="J96" i="10" s="1"/>
  <c r="D95" i="40"/>
  <c r="J96" i="40" s="1"/>
  <c r="D95" i="28"/>
  <c r="J96" i="28" s="1"/>
  <c r="D95" i="43"/>
  <c r="J96" i="43" s="1"/>
  <c r="D95" i="27"/>
  <c r="J96" i="27" s="1"/>
  <c r="D95" i="3"/>
  <c r="J96" i="3" s="1"/>
  <c r="D95" i="31"/>
  <c r="J96" i="31" s="1"/>
  <c r="D95" i="8"/>
  <c r="J96" i="8" s="1"/>
  <c r="D95" i="5"/>
  <c r="J96" i="5" s="1"/>
  <c r="D95" i="4"/>
  <c r="J96" i="4" s="1"/>
  <c r="D95" i="37"/>
  <c r="J96" i="37" s="1"/>
  <c r="D95" i="39"/>
  <c r="J96" i="39" s="1"/>
  <c r="D95" i="30"/>
  <c r="J96" i="30" s="1"/>
  <c r="E100" i="47" l="1"/>
  <c r="F100" i="47" s="1"/>
  <c r="E100" i="46"/>
  <c r="B100" i="44"/>
  <c r="B100" i="45"/>
  <c r="H73" i="43"/>
  <c r="N100" i="38"/>
  <c r="O100" i="38" s="1"/>
  <c r="L100" i="38"/>
  <c r="M100" i="38" s="1"/>
  <c r="B100" i="42"/>
  <c r="B100" i="43"/>
  <c r="B100" i="41"/>
  <c r="D101" i="47" l="1"/>
  <c r="E101" i="47" s="1"/>
  <c r="G100" i="47"/>
  <c r="D100" i="46"/>
  <c r="B100" i="46" s="1"/>
  <c r="D101" i="44"/>
  <c r="J99" i="45"/>
  <c r="E101" i="45"/>
  <c r="P100" i="38"/>
  <c r="J99" i="41"/>
  <c r="J99" i="43"/>
  <c r="I100" i="47" l="1"/>
  <c r="H100" i="47"/>
  <c r="F101" i="47"/>
  <c r="B101" i="47"/>
  <c r="D101" i="45"/>
  <c r="B101" i="45" s="1"/>
  <c r="J99" i="46"/>
  <c r="F100" i="46"/>
  <c r="J99" i="44"/>
  <c r="B101" i="42"/>
  <c r="E101" i="44"/>
  <c r="F101" i="44" s="1"/>
  <c r="B101" i="44"/>
  <c r="J99" i="42"/>
  <c r="N88" i="41"/>
  <c r="M88" i="41"/>
  <c r="M89" i="41" s="1"/>
  <c r="N88" i="42"/>
  <c r="M88" i="42"/>
  <c r="M89" i="42" s="1"/>
  <c r="M88" i="38"/>
  <c r="M89" i="38" s="1"/>
  <c r="B101" i="41"/>
  <c r="B101" i="38"/>
  <c r="I40" i="17"/>
  <c r="I41" i="17"/>
  <c r="I37" i="17"/>
  <c r="J100" i="47" l="1"/>
  <c r="G101" i="47"/>
  <c r="D102" i="47"/>
  <c r="E102" i="47" s="1"/>
  <c r="F101" i="45"/>
  <c r="E102" i="45" s="1"/>
  <c r="G100" i="46"/>
  <c r="D101" i="46"/>
  <c r="B101" i="46" s="1"/>
  <c r="E101" i="46"/>
  <c r="J100" i="45"/>
  <c r="G101" i="44"/>
  <c r="D102" i="44"/>
  <c r="E102" i="44"/>
  <c r="J100" i="44"/>
  <c r="J100" i="38"/>
  <c r="N88" i="38"/>
  <c r="N89" i="42"/>
  <c r="O88" i="42"/>
  <c r="O89" i="42" s="1"/>
  <c r="N89" i="41"/>
  <c r="O88" i="41"/>
  <c r="O89" i="41" s="1"/>
  <c r="D102" i="41"/>
  <c r="D102" i="42"/>
  <c r="J100" i="42"/>
  <c r="D102" i="38"/>
  <c r="J100" i="41"/>
  <c r="B106" i="24"/>
  <c r="B101" i="37"/>
  <c r="B111" i="11"/>
  <c r="B107" i="23"/>
  <c r="B104" i="31"/>
  <c r="B100" i="40"/>
  <c r="B109" i="5"/>
  <c r="B105" i="27"/>
  <c r="B108" i="22"/>
  <c r="B109" i="3"/>
  <c r="B104" i="29"/>
  <c r="B110" i="8"/>
  <c r="B101" i="39"/>
  <c r="B103" i="30"/>
  <c r="B110" i="6"/>
  <c r="B101" i="43"/>
  <c r="B109" i="4"/>
  <c r="B111" i="9"/>
  <c r="B104" i="28"/>
  <c r="B108" i="25"/>
  <c r="B112" i="10"/>
  <c r="B112" i="7"/>
  <c r="N88" i="43"/>
  <c r="M88" i="43"/>
  <c r="M89" i="43" s="1"/>
  <c r="I42" i="17"/>
  <c r="D102" i="45" l="1"/>
  <c r="B102" i="45" s="1"/>
  <c r="B102" i="47"/>
  <c r="F102" i="47"/>
  <c r="G101" i="45"/>
  <c r="H101" i="45" s="1"/>
  <c r="H101" i="47"/>
  <c r="I101" i="47"/>
  <c r="F101" i="46"/>
  <c r="G101" i="46" s="1"/>
  <c r="D102" i="46"/>
  <c r="B102" i="46" s="1"/>
  <c r="H100" i="46"/>
  <c r="I100" i="46"/>
  <c r="F102" i="45"/>
  <c r="G102" i="45" s="1"/>
  <c r="I101" i="44"/>
  <c r="H101" i="44"/>
  <c r="B102" i="44"/>
  <c r="F102" i="44"/>
  <c r="N89" i="38"/>
  <c r="O88" i="38"/>
  <c r="O89" i="38" s="1"/>
  <c r="N89" i="43"/>
  <c r="O88" i="43"/>
  <c r="O89" i="43" s="1"/>
  <c r="E102" i="38"/>
  <c r="F102" i="38" s="1"/>
  <c r="B102" i="38"/>
  <c r="E102" i="42"/>
  <c r="F102" i="42" s="1"/>
  <c r="B102" i="42"/>
  <c r="E102" i="41"/>
  <c r="F102" i="41" s="1"/>
  <c r="B102" i="41"/>
  <c r="J100" i="43"/>
  <c r="J102" i="30"/>
  <c r="D102" i="43"/>
  <c r="E102" i="43"/>
  <c r="J103" i="29"/>
  <c r="J108" i="3"/>
  <c r="J100" i="37"/>
  <c r="J107" i="25"/>
  <c r="J103" i="28"/>
  <c r="J99" i="40"/>
  <c r="J100" i="39"/>
  <c r="J107" i="22"/>
  <c r="J109" i="8"/>
  <c r="J103" i="31"/>
  <c r="J111" i="7"/>
  <c r="J111" i="10"/>
  <c r="J110" i="9"/>
  <c r="J109" i="6"/>
  <c r="J105" i="24"/>
  <c r="J104" i="27"/>
  <c r="J106" i="23"/>
  <c r="J110" i="11"/>
  <c r="J108" i="5"/>
  <c r="J108" i="4"/>
  <c r="I101" i="45" l="1"/>
  <c r="E102" i="46"/>
  <c r="D103" i="47"/>
  <c r="E103" i="47" s="1"/>
  <c r="G102" i="47"/>
  <c r="J101" i="47"/>
  <c r="F102" i="46"/>
  <c r="G102" i="46" s="1"/>
  <c r="J100" i="46"/>
  <c r="H101" i="46"/>
  <c r="I101" i="46"/>
  <c r="D103" i="45"/>
  <c r="B103" i="45" s="1"/>
  <c r="E103" i="45"/>
  <c r="J101" i="44"/>
  <c r="D103" i="44"/>
  <c r="B103" i="44" s="1"/>
  <c r="G102" i="44"/>
  <c r="E103" i="44"/>
  <c r="H102" i="45"/>
  <c r="I102" i="45"/>
  <c r="J101" i="45"/>
  <c r="J101" i="42"/>
  <c r="J101" i="38"/>
  <c r="G102" i="41"/>
  <c r="D103" i="41"/>
  <c r="E103" i="41"/>
  <c r="G102" i="42"/>
  <c r="D103" i="42"/>
  <c r="B103" i="42" s="1"/>
  <c r="E103" i="42"/>
  <c r="J101" i="41"/>
  <c r="D103" i="38"/>
  <c r="G102" i="38"/>
  <c r="B107" i="24"/>
  <c r="B101" i="40"/>
  <c r="N88" i="39"/>
  <c r="N89" i="39" s="1"/>
  <c r="M88" i="39"/>
  <c r="M89" i="39" s="1"/>
  <c r="N88" i="24"/>
  <c r="N89" i="24" s="1"/>
  <c r="M88" i="24"/>
  <c r="M89" i="24" s="1"/>
  <c r="M88" i="37"/>
  <c r="M89" i="37" s="1"/>
  <c r="N88" i="37"/>
  <c r="N89" i="37" s="1"/>
  <c r="B106" i="27"/>
  <c r="B104" i="30"/>
  <c r="B109" i="25"/>
  <c r="N88" i="5"/>
  <c r="M88" i="5"/>
  <c r="M89" i="5" s="1"/>
  <c r="B109" i="22"/>
  <c r="B111" i="8"/>
  <c r="B113" i="7"/>
  <c r="B105" i="31"/>
  <c r="M88" i="40"/>
  <c r="M89" i="40" s="1"/>
  <c r="N88" i="40"/>
  <c r="N89" i="40" s="1"/>
  <c r="B105" i="29"/>
  <c r="B105" i="28"/>
  <c r="M88" i="27"/>
  <c r="M89" i="27" s="1"/>
  <c r="N88" i="27"/>
  <c r="N89" i="27" s="1"/>
  <c r="M88" i="30"/>
  <c r="M89" i="30" s="1"/>
  <c r="N88" i="30"/>
  <c r="N89" i="30" s="1"/>
  <c r="N88" i="25"/>
  <c r="N89" i="25" s="1"/>
  <c r="M88" i="25"/>
  <c r="M89" i="25" s="1"/>
  <c r="N88" i="22"/>
  <c r="N89" i="22" s="1"/>
  <c r="M88" i="22"/>
  <c r="M89" i="22" s="1"/>
  <c r="B110" i="4"/>
  <c r="B113" i="10"/>
  <c r="B108" i="23"/>
  <c r="B110" i="3"/>
  <c r="N88" i="8"/>
  <c r="N89" i="8" s="1"/>
  <c r="M88" i="8"/>
  <c r="M89" i="8" s="1"/>
  <c r="B102" i="43"/>
  <c r="F102" i="43"/>
  <c r="M88" i="7"/>
  <c r="M89" i="7" s="1"/>
  <c r="N88" i="7"/>
  <c r="N88" i="31"/>
  <c r="N89" i="31" s="1"/>
  <c r="M88" i="31"/>
  <c r="M89" i="31" s="1"/>
  <c r="N88" i="29"/>
  <c r="N89" i="29" s="1"/>
  <c r="M88" i="29"/>
  <c r="M89" i="29" s="1"/>
  <c r="N88" i="28"/>
  <c r="N89" i="28" s="1"/>
  <c r="M88" i="28"/>
  <c r="M89" i="28" s="1"/>
  <c r="B112" i="11"/>
  <c r="B111" i="6"/>
  <c r="N88" i="4"/>
  <c r="M88" i="4"/>
  <c r="M89" i="4" s="1"/>
  <c r="M88" i="10"/>
  <c r="M89" i="10" s="1"/>
  <c r="N88" i="10"/>
  <c r="N89" i="10" s="1"/>
  <c r="M88" i="23"/>
  <c r="M89" i="23" s="1"/>
  <c r="N88" i="23"/>
  <c r="M88" i="3"/>
  <c r="N88" i="3"/>
  <c r="B112" i="9"/>
  <c r="B102" i="39"/>
  <c r="B102" i="37"/>
  <c r="M88" i="11"/>
  <c r="M89" i="11" s="1"/>
  <c r="N88" i="11"/>
  <c r="B110" i="5"/>
  <c r="N88" i="6"/>
  <c r="N89" i="6" s="1"/>
  <c r="M88" i="6"/>
  <c r="M89" i="6" s="1"/>
  <c r="N88" i="9"/>
  <c r="M88" i="9"/>
  <c r="M89" i="9" s="1"/>
  <c r="I34" i="17"/>
  <c r="I19" i="17"/>
  <c r="I26" i="17"/>
  <c r="I25" i="17"/>
  <c r="I23" i="17"/>
  <c r="I30" i="17"/>
  <c r="I39" i="17"/>
  <c r="I21" i="17"/>
  <c r="I27" i="17"/>
  <c r="I29" i="17"/>
  <c r="I38" i="17"/>
  <c r="I35" i="17"/>
  <c r="I33" i="17"/>
  <c r="I20" i="17"/>
  <c r="I31" i="17"/>
  <c r="I24" i="17"/>
  <c r="I22" i="17"/>
  <c r="I36" i="17"/>
  <c r="I28" i="17"/>
  <c r="I32" i="17"/>
  <c r="E103" i="46" l="1"/>
  <c r="J101" i="46"/>
  <c r="D103" i="46"/>
  <c r="B103" i="46" s="1"/>
  <c r="H102" i="47"/>
  <c r="I102" i="47"/>
  <c r="F103" i="47"/>
  <c r="B103" i="47"/>
  <c r="I102" i="46"/>
  <c r="H102" i="46"/>
  <c r="F103" i="45"/>
  <c r="J102" i="45"/>
  <c r="F103" i="44"/>
  <c r="E104" i="44" s="1"/>
  <c r="H102" i="44"/>
  <c r="I102" i="44"/>
  <c r="O88" i="11"/>
  <c r="O89" i="11" s="1"/>
  <c r="O88" i="23"/>
  <c r="O89" i="23" s="1"/>
  <c r="O88" i="39"/>
  <c r="O89" i="39" s="1"/>
  <c r="N89" i="23"/>
  <c r="O88" i="5"/>
  <c r="O89" i="5" s="1"/>
  <c r="O88" i="3"/>
  <c r="O89" i="3" s="1"/>
  <c r="O88" i="7"/>
  <c r="O89" i="7" s="1"/>
  <c r="O88" i="24"/>
  <c r="O89" i="24" s="1"/>
  <c r="O88" i="25"/>
  <c r="O89" i="25" s="1"/>
  <c r="N89" i="5"/>
  <c r="O88" i="28"/>
  <c r="O89" i="28" s="1"/>
  <c r="O88" i="10"/>
  <c r="O89" i="10" s="1"/>
  <c r="O88" i="8"/>
  <c r="O89" i="8" s="1"/>
  <c r="O88" i="6"/>
  <c r="O89" i="6" s="1"/>
  <c r="N89" i="7"/>
  <c r="O88" i="31"/>
  <c r="O89" i="31" s="1"/>
  <c r="M89" i="3"/>
  <c r="O88" i="27"/>
  <c r="O89" i="27" s="1"/>
  <c r="O88" i="9"/>
  <c r="O89" i="9" s="1"/>
  <c r="O88" i="4"/>
  <c r="O89" i="4" s="1"/>
  <c r="O88" i="22"/>
  <c r="O89" i="22" s="1"/>
  <c r="N89" i="4"/>
  <c r="O88" i="29"/>
  <c r="O89" i="29" s="1"/>
  <c r="N89" i="3"/>
  <c r="N89" i="11"/>
  <c r="N89" i="9"/>
  <c r="O88" i="30"/>
  <c r="O89" i="30" s="1"/>
  <c r="O88" i="40"/>
  <c r="O89" i="40" s="1"/>
  <c r="O88" i="37"/>
  <c r="O89" i="37" s="1"/>
  <c r="F103" i="42"/>
  <c r="D104" i="42" s="1"/>
  <c r="H102" i="42"/>
  <c r="I102" i="42"/>
  <c r="E103" i="38"/>
  <c r="F103" i="38" s="1"/>
  <c r="B103" i="38"/>
  <c r="B103" i="41"/>
  <c r="F103" i="41"/>
  <c r="H102" i="38"/>
  <c r="I102" i="38"/>
  <c r="I102" i="41"/>
  <c r="H102" i="41"/>
  <c r="J111" i="9"/>
  <c r="J101" i="43"/>
  <c r="D111" i="5"/>
  <c r="E111" i="5"/>
  <c r="J112" i="10"/>
  <c r="D112" i="6"/>
  <c r="E112" i="6"/>
  <c r="J104" i="29"/>
  <c r="J109" i="5"/>
  <c r="J106" i="24"/>
  <c r="D108" i="24"/>
  <c r="E108" i="24"/>
  <c r="D103" i="37"/>
  <c r="E103" i="37"/>
  <c r="D103" i="39"/>
  <c r="E103" i="39"/>
  <c r="J109" i="3"/>
  <c r="D113" i="11"/>
  <c r="E113" i="11"/>
  <c r="J104" i="28"/>
  <c r="D109" i="23"/>
  <c r="E109" i="23"/>
  <c r="D114" i="10"/>
  <c r="E114" i="10"/>
  <c r="J105" i="27"/>
  <c r="J100" i="40"/>
  <c r="D110" i="22"/>
  <c r="E110" i="22"/>
  <c r="D110" i="25"/>
  <c r="E110" i="25"/>
  <c r="J101" i="37"/>
  <c r="J101" i="39"/>
  <c r="D102" i="40"/>
  <c r="E102" i="40"/>
  <c r="J110" i="6"/>
  <c r="J111" i="11"/>
  <c r="G102" i="43"/>
  <c r="D103" i="43"/>
  <c r="E103" i="43"/>
  <c r="J110" i="8"/>
  <c r="J108" i="25"/>
  <c r="D106" i="28"/>
  <c r="E106" i="28"/>
  <c r="D106" i="29"/>
  <c r="E106" i="29"/>
  <c r="D114" i="7"/>
  <c r="E114" i="7"/>
  <c r="D112" i="8"/>
  <c r="E112" i="8"/>
  <c r="D107" i="27"/>
  <c r="E107" i="27"/>
  <c r="J107" i="23"/>
  <c r="J109" i="4"/>
  <c r="J104" i="31"/>
  <c r="J112" i="7"/>
  <c r="D111" i="3"/>
  <c r="E111" i="3"/>
  <c r="D111" i="4"/>
  <c r="E111" i="4"/>
  <c r="J108" i="22"/>
  <c r="J103" i="30"/>
  <c r="D106" i="31"/>
  <c r="E106" i="31"/>
  <c r="D105" i="30"/>
  <c r="E105" i="30"/>
  <c r="I18" i="17"/>
  <c r="J102" i="47" l="1"/>
  <c r="G103" i="47"/>
  <c r="D104" i="47"/>
  <c r="E104" i="47"/>
  <c r="F103" i="46"/>
  <c r="J102" i="46"/>
  <c r="D104" i="44"/>
  <c r="B104" i="44" s="1"/>
  <c r="D104" i="45"/>
  <c r="E104" i="45"/>
  <c r="G103" i="45"/>
  <c r="J102" i="44"/>
  <c r="G103" i="44"/>
  <c r="I103" i="44" s="1"/>
  <c r="N88" i="45"/>
  <c r="G103" i="42"/>
  <c r="H103" i="42" s="1"/>
  <c r="J102" i="38"/>
  <c r="J102" i="41"/>
  <c r="J102" i="42"/>
  <c r="G103" i="38"/>
  <c r="D104" i="38"/>
  <c r="E104" i="42"/>
  <c r="F104" i="42" s="1"/>
  <c r="B104" i="42"/>
  <c r="G103" i="41"/>
  <c r="D104" i="41"/>
  <c r="B106" i="28"/>
  <c r="F106" i="28"/>
  <c r="B109" i="23"/>
  <c r="F109" i="23"/>
  <c r="B103" i="39"/>
  <c r="F103" i="39"/>
  <c r="B108" i="24"/>
  <c r="F108" i="24"/>
  <c r="B111" i="3"/>
  <c r="F111" i="3"/>
  <c r="B111" i="4"/>
  <c r="F111" i="4"/>
  <c r="B107" i="27"/>
  <c r="F107" i="27"/>
  <c r="B114" i="7"/>
  <c r="F114" i="7"/>
  <c r="B106" i="29"/>
  <c r="F106" i="29"/>
  <c r="B103" i="43"/>
  <c r="F103" i="43"/>
  <c r="B110" i="22"/>
  <c r="F110" i="22"/>
  <c r="B114" i="10"/>
  <c r="F114" i="10"/>
  <c r="B112" i="6"/>
  <c r="F112" i="6"/>
  <c r="B105" i="30"/>
  <c r="F105" i="30"/>
  <c r="B106" i="31"/>
  <c r="F106" i="31"/>
  <c r="B112" i="8"/>
  <c r="F112" i="8"/>
  <c r="H102" i="43"/>
  <c r="I102" i="43"/>
  <c r="B110" i="25"/>
  <c r="F110" i="25"/>
  <c r="B113" i="11"/>
  <c r="F113" i="11"/>
  <c r="B111" i="5"/>
  <c r="F111" i="5"/>
  <c r="B102" i="40"/>
  <c r="F102" i="40"/>
  <c r="B103" i="37"/>
  <c r="F103" i="37"/>
  <c r="B113" i="9"/>
  <c r="G103" i="46" l="1"/>
  <c r="E104" i="46"/>
  <c r="D104" i="46"/>
  <c r="F104" i="47"/>
  <c r="B104" i="47"/>
  <c r="I103" i="47"/>
  <c r="H103" i="47"/>
  <c r="F104" i="44"/>
  <c r="D105" i="44" s="1"/>
  <c r="B105" i="44" s="1"/>
  <c r="N88" i="46"/>
  <c r="H103" i="45"/>
  <c r="M88" i="45" s="1"/>
  <c r="M89" i="45" s="1"/>
  <c r="I103" i="45"/>
  <c r="B104" i="45"/>
  <c r="F104" i="45"/>
  <c r="H103" i="44"/>
  <c r="M88" i="44" s="1"/>
  <c r="M89" i="44" s="1"/>
  <c r="N88" i="44"/>
  <c r="N89" i="45"/>
  <c r="I103" i="42"/>
  <c r="J103" i="42" s="1"/>
  <c r="I103" i="41"/>
  <c r="H103" i="41"/>
  <c r="G104" i="42"/>
  <c r="D105" i="42"/>
  <c r="E104" i="38"/>
  <c r="F104" i="38" s="1"/>
  <c r="B104" i="38"/>
  <c r="E104" i="41"/>
  <c r="F104" i="41" s="1"/>
  <c r="B104" i="41"/>
  <c r="H103" i="38"/>
  <c r="I103" i="38"/>
  <c r="G103" i="37"/>
  <c r="D104" i="37"/>
  <c r="E104" i="37"/>
  <c r="G113" i="11"/>
  <c r="D114" i="11"/>
  <c r="E114" i="11"/>
  <c r="J105" i="29"/>
  <c r="G112" i="8"/>
  <c r="D113" i="8"/>
  <c r="E113" i="8"/>
  <c r="G103" i="43"/>
  <c r="D104" i="43"/>
  <c r="E104" i="43"/>
  <c r="G106" i="29"/>
  <c r="D107" i="29"/>
  <c r="E107" i="29"/>
  <c r="G107" i="27"/>
  <c r="D108" i="27"/>
  <c r="E108" i="27"/>
  <c r="G111" i="4"/>
  <c r="D112" i="4"/>
  <c r="E112" i="4"/>
  <c r="J102" i="37"/>
  <c r="G106" i="28"/>
  <c r="D107" i="28"/>
  <c r="E107" i="28"/>
  <c r="J109" i="25"/>
  <c r="G111" i="5"/>
  <c r="D112" i="5"/>
  <c r="E112" i="5"/>
  <c r="J109" i="22"/>
  <c r="J110" i="4"/>
  <c r="G105" i="30"/>
  <c r="D106" i="30"/>
  <c r="E106" i="30"/>
  <c r="J107" i="24"/>
  <c r="J108" i="23"/>
  <c r="G110" i="22"/>
  <c r="D111" i="22"/>
  <c r="E111" i="22"/>
  <c r="G109" i="23"/>
  <c r="D110" i="23"/>
  <c r="E110" i="23"/>
  <c r="J101" i="40"/>
  <c r="J110" i="5"/>
  <c r="D114" i="9"/>
  <c r="E114" i="9"/>
  <c r="J112" i="11"/>
  <c r="G102" i="40"/>
  <c r="D103" i="40"/>
  <c r="E103" i="40"/>
  <c r="J111" i="8"/>
  <c r="J104" i="30"/>
  <c r="J113" i="10"/>
  <c r="J102" i="43"/>
  <c r="J106" i="27"/>
  <c r="J105" i="28"/>
  <c r="G114" i="7"/>
  <c r="D115" i="7"/>
  <c r="E115" i="7"/>
  <c r="J110" i="3"/>
  <c r="G108" i="24"/>
  <c r="D109" i="24"/>
  <c r="E109" i="24"/>
  <c r="G103" i="39"/>
  <c r="D104" i="39"/>
  <c r="E104" i="39"/>
  <c r="J105" i="31"/>
  <c r="J111" i="6"/>
  <c r="G110" i="25"/>
  <c r="D111" i="25"/>
  <c r="E111" i="25"/>
  <c r="J113" i="7"/>
  <c r="G106" i="31"/>
  <c r="D107" i="31"/>
  <c r="E107" i="31"/>
  <c r="G112" i="6"/>
  <c r="D113" i="6"/>
  <c r="E113" i="6"/>
  <c r="J102" i="39"/>
  <c r="G114" i="10"/>
  <c r="D115" i="10"/>
  <c r="E115" i="10"/>
  <c r="G111" i="3"/>
  <c r="D112" i="3"/>
  <c r="E112" i="3"/>
  <c r="J112" i="9"/>
  <c r="I43" i="17"/>
  <c r="I44" i="17"/>
  <c r="D105" i="47" l="1"/>
  <c r="E105" i="47" s="1"/>
  <c r="G104" i="47"/>
  <c r="B104" i="46"/>
  <c r="F104" i="46"/>
  <c r="J103" i="47"/>
  <c r="H103" i="46"/>
  <c r="M88" i="46" s="1"/>
  <c r="M89" i="46" s="1"/>
  <c r="I103" i="46"/>
  <c r="J103" i="46" s="1"/>
  <c r="G104" i="44"/>
  <c r="H104" i="44" s="1"/>
  <c r="E105" i="44"/>
  <c r="F105" i="44" s="1"/>
  <c r="D106" i="44" s="1"/>
  <c r="I104" i="44"/>
  <c r="N89" i="46"/>
  <c r="O88" i="45"/>
  <c r="O89" i="45" s="1"/>
  <c r="J103" i="44"/>
  <c r="J103" i="45"/>
  <c r="G104" i="45"/>
  <c r="E105" i="45"/>
  <c r="D105" i="45"/>
  <c r="O88" i="44"/>
  <c r="O89" i="44" s="1"/>
  <c r="N89" i="44"/>
  <c r="O18" i="2"/>
  <c r="J103" i="38"/>
  <c r="D105" i="41"/>
  <c r="G104" i="41"/>
  <c r="D105" i="38"/>
  <c r="G104" i="38"/>
  <c r="E105" i="38"/>
  <c r="I104" i="42"/>
  <c r="H104" i="42"/>
  <c r="E105" i="42"/>
  <c r="F105" i="42" s="1"/>
  <c r="B105" i="42"/>
  <c r="J103" i="41"/>
  <c r="B111" i="25"/>
  <c r="F111" i="25"/>
  <c r="B104" i="39"/>
  <c r="F104" i="39"/>
  <c r="H108" i="24"/>
  <c r="I108" i="24"/>
  <c r="H109" i="23"/>
  <c r="I109" i="23"/>
  <c r="H110" i="22"/>
  <c r="I110" i="22"/>
  <c r="B107" i="28"/>
  <c r="F107" i="28"/>
  <c r="B108" i="27"/>
  <c r="F108" i="27"/>
  <c r="I106" i="29"/>
  <c r="H106" i="29"/>
  <c r="H113" i="11"/>
  <c r="I113" i="11"/>
  <c r="B112" i="3"/>
  <c r="F112" i="3"/>
  <c r="I111" i="3"/>
  <c r="H111" i="3"/>
  <c r="B115" i="10"/>
  <c r="F115" i="10"/>
  <c r="B107" i="31"/>
  <c r="F107" i="31"/>
  <c r="H110" i="25"/>
  <c r="I110" i="25"/>
  <c r="P108" i="25" s="1"/>
  <c r="I103" i="39"/>
  <c r="H103" i="39"/>
  <c r="B115" i="7"/>
  <c r="F115" i="7"/>
  <c r="B103" i="40"/>
  <c r="F103" i="40"/>
  <c r="H106" i="28"/>
  <c r="I106" i="28"/>
  <c r="B112" i="4"/>
  <c r="F112" i="4"/>
  <c r="H107" i="27"/>
  <c r="I107" i="27"/>
  <c r="H114" i="10"/>
  <c r="I114" i="10"/>
  <c r="B113" i="6"/>
  <c r="F113" i="6"/>
  <c r="I106" i="31"/>
  <c r="H106" i="31"/>
  <c r="H114" i="7"/>
  <c r="I114" i="7"/>
  <c r="H102" i="40"/>
  <c r="I102" i="40"/>
  <c r="B114" i="9"/>
  <c r="F114" i="9"/>
  <c r="B106" i="30"/>
  <c r="F106" i="30"/>
  <c r="B112" i="5"/>
  <c r="F112" i="5"/>
  <c r="H111" i="4"/>
  <c r="I111" i="4"/>
  <c r="B104" i="43"/>
  <c r="F104" i="43"/>
  <c r="B113" i="8"/>
  <c r="F113" i="8"/>
  <c r="B104" i="37"/>
  <c r="F104" i="37"/>
  <c r="H112" i="6"/>
  <c r="I112" i="6"/>
  <c r="B109" i="24"/>
  <c r="F109" i="24"/>
  <c r="I113" i="9"/>
  <c r="B110" i="23"/>
  <c r="F110" i="23"/>
  <c r="B111" i="22"/>
  <c r="F111" i="22"/>
  <c r="I105" i="30"/>
  <c r="H105" i="30"/>
  <c r="H111" i="5"/>
  <c r="I111" i="5"/>
  <c r="B107" i="29"/>
  <c r="F107" i="29"/>
  <c r="H103" i="43"/>
  <c r="I103" i="43"/>
  <c r="H112" i="8"/>
  <c r="I112" i="8"/>
  <c r="B114" i="11"/>
  <c r="F114" i="11"/>
  <c r="H103" i="37"/>
  <c r="I103" i="37"/>
  <c r="I45" i="17"/>
  <c r="J104" i="44" l="1"/>
  <c r="O88" i="46"/>
  <c r="O89" i="46" s="1"/>
  <c r="N18" i="2"/>
  <c r="R134" i="2" s="1"/>
  <c r="I51" i="17"/>
  <c r="H104" i="47"/>
  <c r="I104" i="47"/>
  <c r="G104" i="46"/>
  <c r="E105" i="46"/>
  <c r="D105" i="46"/>
  <c r="B105" i="47"/>
  <c r="F105" i="47"/>
  <c r="G105" i="44"/>
  <c r="H105" i="44" s="1"/>
  <c r="B105" i="45"/>
  <c r="F105" i="45"/>
  <c r="H104" i="45"/>
  <c r="I104" i="45"/>
  <c r="E106" i="44"/>
  <c r="F106" i="44" s="1"/>
  <c r="B106" i="44"/>
  <c r="R135" i="2"/>
  <c r="O19" i="2"/>
  <c r="O20" i="2" s="1"/>
  <c r="G105" i="42"/>
  <c r="D106" i="42"/>
  <c r="H104" i="38"/>
  <c r="I104" i="38"/>
  <c r="B105" i="38"/>
  <c r="F105" i="38"/>
  <c r="J104" i="42"/>
  <c r="I104" i="41"/>
  <c r="H104" i="41"/>
  <c r="E105" i="41"/>
  <c r="F105" i="41" s="1"/>
  <c r="B105" i="41"/>
  <c r="G113" i="8"/>
  <c r="D114" i="8"/>
  <c r="E114" i="8"/>
  <c r="J112" i="8"/>
  <c r="J113" i="9"/>
  <c r="J103" i="39"/>
  <c r="J110" i="25"/>
  <c r="J111" i="3"/>
  <c r="J108" i="24"/>
  <c r="J111" i="4"/>
  <c r="J103" i="37"/>
  <c r="G107" i="29"/>
  <c r="D108" i="29"/>
  <c r="E108" i="29"/>
  <c r="G106" i="30"/>
  <c r="D107" i="30"/>
  <c r="E107" i="30"/>
  <c r="G110" i="23"/>
  <c r="D111" i="23"/>
  <c r="E111" i="23"/>
  <c r="G109" i="24"/>
  <c r="D110" i="24"/>
  <c r="E110" i="24"/>
  <c r="G104" i="37"/>
  <c r="D105" i="37"/>
  <c r="E105" i="37"/>
  <c r="G104" i="43"/>
  <c r="D105" i="43"/>
  <c r="E105" i="43"/>
  <c r="J102" i="40"/>
  <c r="J114" i="10"/>
  <c r="J107" i="27"/>
  <c r="J106" i="28"/>
  <c r="G103" i="40"/>
  <c r="D104" i="40"/>
  <c r="E104" i="40"/>
  <c r="G115" i="7"/>
  <c r="D116" i="7"/>
  <c r="E116" i="7"/>
  <c r="G115" i="10"/>
  <c r="D116" i="10"/>
  <c r="E116" i="10"/>
  <c r="G112" i="3"/>
  <c r="D113" i="3"/>
  <c r="E113" i="3"/>
  <c r="G107" i="28"/>
  <c r="D108" i="28"/>
  <c r="E108" i="28"/>
  <c r="J110" i="22"/>
  <c r="G111" i="25"/>
  <c r="D112" i="25"/>
  <c r="E112" i="25"/>
  <c r="G111" i="22"/>
  <c r="D112" i="22"/>
  <c r="E112" i="22"/>
  <c r="G114" i="11"/>
  <c r="D115" i="11"/>
  <c r="E115" i="11"/>
  <c r="J103" i="43"/>
  <c r="J105" i="30"/>
  <c r="G112" i="5"/>
  <c r="D113" i="5"/>
  <c r="E113" i="5"/>
  <c r="J106" i="31"/>
  <c r="J106" i="29"/>
  <c r="G104" i="39"/>
  <c r="D105" i="39"/>
  <c r="E105" i="39"/>
  <c r="J111" i="5"/>
  <c r="J112" i="6"/>
  <c r="G114" i="9"/>
  <c r="D115" i="9"/>
  <c r="E115" i="9"/>
  <c r="J114" i="7"/>
  <c r="G113" i="6"/>
  <c r="D114" i="6"/>
  <c r="E114" i="6"/>
  <c r="G112" i="4"/>
  <c r="D113" i="4"/>
  <c r="E113" i="4"/>
  <c r="G107" i="31"/>
  <c r="D108" i="31"/>
  <c r="E108" i="31"/>
  <c r="J113" i="11"/>
  <c r="G108" i="27"/>
  <c r="D109" i="27"/>
  <c r="E109" i="27"/>
  <c r="J109" i="23"/>
  <c r="N19" i="2" l="1"/>
  <c r="N20" i="2" s="1"/>
  <c r="P18" i="2"/>
  <c r="P19" i="2" s="1"/>
  <c r="P20" i="2" s="1"/>
  <c r="J104" i="47"/>
  <c r="B105" i="46"/>
  <c r="F105" i="46"/>
  <c r="D106" i="47"/>
  <c r="E106" i="47" s="1"/>
  <c r="G105" i="47"/>
  <c r="I104" i="46"/>
  <c r="H104" i="46"/>
  <c r="I105" i="44"/>
  <c r="J105" i="44" s="1"/>
  <c r="J104" i="45"/>
  <c r="G105" i="45"/>
  <c r="D106" i="45"/>
  <c r="E106" i="45"/>
  <c r="J104" i="38"/>
  <c r="J104" i="41"/>
  <c r="D107" i="44"/>
  <c r="G106" i="44"/>
  <c r="D106" i="41"/>
  <c r="G105" i="41"/>
  <c r="D106" i="38"/>
  <c r="G105" i="38"/>
  <c r="E106" i="42"/>
  <c r="F106" i="42" s="1"/>
  <c r="B106" i="42"/>
  <c r="I105" i="42"/>
  <c r="H105" i="42"/>
  <c r="B109" i="27"/>
  <c r="F109" i="27"/>
  <c r="B108" i="31"/>
  <c r="F108" i="31"/>
  <c r="H112" i="4"/>
  <c r="I112" i="4"/>
  <c r="H114" i="9"/>
  <c r="I114" i="9"/>
  <c r="H112" i="5"/>
  <c r="I112" i="5"/>
  <c r="B112" i="25"/>
  <c r="F112" i="25"/>
  <c r="B113" i="3"/>
  <c r="F113" i="3"/>
  <c r="H115" i="10"/>
  <c r="I115" i="10"/>
  <c r="B105" i="43"/>
  <c r="F105" i="43"/>
  <c r="I104" i="37"/>
  <c r="H104" i="37"/>
  <c r="B107" i="30"/>
  <c r="F107" i="30"/>
  <c r="H107" i="29"/>
  <c r="I107" i="29"/>
  <c r="I108" i="27"/>
  <c r="H108" i="27"/>
  <c r="H107" i="31"/>
  <c r="I107" i="31"/>
  <c r="B112" i="22"/>
  <c r="F112" i="22"/>
  <c r="H111" i="25"/>
  <c r="I111" i="25"/>
  <c r="P109" i="25" s="1"/>
  <c r="B108" i="28"/>
  <c r="F108" i="28"/>
  <c r="H112" i="3"/>
  <c r="I112" i="3"/>
  <c r="B104" i="40"/>
  <c r="F104" i="40"/>
  <c r="I104" i="43"/>
  <c r="H104" i="43"/>
  <c r="B111" i="23"/>
  <c r="F111" i="23"/>
  <c r="H106" i="30"/>
  <c r="I106" i="30"/>
  <c r="B114" i="6"/>
  <c r="F114" i="6"/>
  <c r="B105" i="39"/>
  <c r="F105" i="39"/>
  <c r="B115" i="11"/>
  <c r="F115" i="11"/>
  <c r="H111" i="22"/>
  <c r="I111" i="22"/>
  <c r="H107" i="28"/>
  <c r="I107" i="28"/>
  <c r="B116" i="7"/>
  <c r="F116" i="7"/>
  <c r="H103" i="40"/>
  <c r="I103" i="40"/>
  <c r="B110" i="24"/>
  <c r="F110" i="24"/>
  <c r="H110" i="23"/>
  <c r="I110" i="23"/>
  <c r="B114" i="8"/>
  <c r="F114" i="8"/>
  <c r="B113" i="4"/>
  <c r="F113" i="4"/>
  <c r="H113" i="6"/>
  <c r="I113" i="6"/>
  <c r="B115" i="9"/>
  <c r="F115" i="9"/>
  <c r="H104" i="39"/>
  <c r="I104" i="39"/>
  <c r="B113" i="5"/>
  <c r="F113" i="5"/>
  <c r="H114" i="11"/>
  <c r="I114" i="11"/>
  <c r="B116" i="10"/>
  <c r="F116" i="10"/>
  <c r="H115" i="7"/>
  <c r="I115" i="7"/>
  <c r="B105" i="37"/>
  <c r="F105" i="37"/>
  <c r="H109" i="24"/>
  <c r="I109" i="24"/>
  <c r="B108" i="29"/>
  <c r="F108" i="29"/>
  <c r="H113" i="8"/>
  <c r="I113" i="8"/>
  <c r="I105" i="47" l="1"/>
  <c r="H105" i="47"/>
  <c r="B106" i="47"/>
  <c r="F106" i="47"/>
  <c r="J104" i="46"/>
  <c r="E106" i="46"/>
  <c r="G105" i="46"/>
  <c r="D106" i="46"/>
  <c r="B106" i="45"/>
  <c r="F106" i="45"/>
  <c r="H105" i="45"/>
  <c r="I105" i="45"/>
  <c r="J105" i="42"/>
  <c r="H106" i="44"/>
  <c r="I106" i="44"/>
  <c r="E107" i="44"/>
  <c r="F107" i="44" s="1"/>
  <c r="B107" i="44"/>
  <c r="I105" i="38"/>
  <c r="H105" i="38"/>
  <c r="D107" i="42"/>
  <c r="G106" i="42"/>
  <c r="E106" i="38"/>
  <c r="F106" i="38" s="1"/>
  <c r="B106" i="38"/>
  <c r="H105" i="41"/>
  <c r="I105" i="41"/>
  <c r="E106" i="41"/>
  <c r="F106" i="41" s="1"/>
  <c r="B106" i="41"/>
  <c r="J113" i="8"/>
  <c r="J109" i="24"/>
  <c r="J115" i="7"/>
  <c r="J114" i="11"/>
  <c r="J104" i="39"/>
  <c r="J113" i="6"/>
  <c r="G114" i="8"/>
  <c r="D115" i="8"/>
  <c r="E115" i="8"/>
  <c r="G110" i="24"/>
  <c r="D111" i="24"/>
  <c r="E111" i="24"/>
  <c r="G116" i="7"/>
  <c r="D117" i="7"/>
  <c r="E117" i="7"/>
  <c r="J111" i="22"/>
  <c r="G105" i="39"/>
  <c r="D106" i="39"/>
  <c r="E106" i="39"/>
  <c r="J106" i="30"/>
  <c r="J112" i="3"/>
  <c r="J111" i="25"/>
  <c r="J107" i="31"/>
  <c r="J107" i="29"/>
  <c r="J115" i="10"/>
  <c r="G112" i="25"/>
  <c r="D113" i="25"/>
  <c r="E113" i="25"/>
  <c r="J114" i="9"/>
  <c r="G108" i="31"/>
  <c r="D109" i="31"/>
  <c r="E109" i="31"/>
  <c r="J104" i="43"/>
  <c r="J104" i="37"/>
  <c r="G108" i="29"/>
  <c r="D109" i="29"/>
  <c r="E109" i="29"/>
  <c r="G105" i="37"/>
  <c r="D106" i="37"/>
  <c r="E106" i="37"/>
  <c r="G116" i="10"/>
  <c r="D117" i="10"/>
  <c r="E117" i="10"/>
  <c r="G113" i="5"/>
  <c r="D114" i="5"/>
  <c r="E114" i="5"/>
  <c r="G115" i="9"/>
  <c r="D116" i="9"/>
  <c r="E116" i="9"/>
  <c r="G113" i="4"/>
  <c r="D114" i="4"/>
  <c r="E114" i="4"/>
  <c r="J110" i="23"/>
  <c r="J103" i="40"/>
  <c r="J107" i="28"/>
  <c r="G115" i="11"/>
  <c r="D116" i="11"/>
  <c r="E116" i="11"/>
  <c r="G114" i="6"/>
  <c r="D115" i="6"/>
  <c r="E115" i="6"/>
  <c r="G111" i="23"/>
  <c r="D112" i="23"/>
  <c r="E112" i="23"/>
  <c r="G104" i="40"/>
  <c r="D105" i="40"/>
  <c r="E105" i="40"/>
  <c r="G108" i="28"/>
  <c r="D109" i="28"/>
  <c r="E109" i="28"/>
  <c r="G112" i="22"/>
  <c r="D113" i="22"/>
  <c r="E113" i="22"/>
  <c r="G107" i="30"/>
  <c r="D108" i="30"/>
  <c r="E108" i="30"/>
  <c r="G105" i="43"/>
  <c r="D106" i="43"/>
  <c r="E106" i="43"/>
  <c r="G113" i="3"/>
  <c r="D114" i="3"/>
  <c r="E114" i="3"/>
  <c r="J112" i="5"/>
  <c r="J112" i="4"/>
  <c r="G109" i="27"/>
  <c r="D110" i="27"/>
  <c r="E110" i="27"/>
  <c r="J108" i="27"/>
  <c r="F106" i="46" l="1"/>
  <c r="B106" i="46"/>
  <c r="D107" i="47"/>
  <c r="E107" i="47" s="1"/>
  <c r="G106" i="47"/>
  <c r="H105" i="46"/>
  <c r="I105" i="46"/>
  <c r="J105" i="46" s="1"/>
  <c r="J105" i="47"/>
  <c r="J105" i="45"/>
  <c r="G106" i="45"/>
  <c r="D107" i="45"/>
  <c r="E107" i="45"/>
  <c r="J106" i="44"/>
  <c r="D108" i="44"/>
  <c r="G107" i="44"/>
  <c r="H106" i="42"/>
  <c r="I106" i="42"/>
  <c r="D107" i="41"/>
  <c r="G106" i="41"/>
  <c r="D107" i="38"/>
  <c r="G106" i="38"/>
  <c r="E107" i="42"/>
  <c r="F107" i="42" s="1"/>
  <c r="B107" i="42"/>
  <c r="J105" i="41"/>
  <c r="J105" i="38"/>
  <c r="B114" i="3"/>
  <c r="F114" i="3"/>
  <c r="B109" i="28"/>
  <c r="F109" i="28"/>
  <c r="H104" i="40"/>
  <c r="I104" i="40"/>
  <c r="B116" i="11"/>
  <c r="F116" i="11"/>
  <c r="B116" i="9"/>
  <c r="F116" i="9"/>
  <c r="H113" i="5"/>
  <c r="I113" i="5"/>
  <c r="B109" i="29"/>
  <c r="F109" i="29"/>
  <c r="H108" i="31"/>
  <c r="I108" i="31"/>
  <c r="B113" i="25"/>
  <c r="F113" i="25"/>
  <c r="H105" i="39"/>
  <c r="I105" i="39"/>
  <c r="B117" i="7"/>
  <c r="F117" i="7"/>
  <c r="I110" i="24"/>
  <c r="H110" i="24"/>
  <c r="I105" i="43"/>
  <c r="H105" i="43"/>
  <c r="B110" i="27"/>
  <c r="F110" i="27"/>
  <c r="I113" i="3"/>
  <c r="H113" i="3"/>
  <c r="B113" i="22"/>
  <c r="F113" i="22"/>
  <c r="H108" i="28"/>
  <c r="I108" i="28"/>
  <c r="B115" i="6"/>
  <c r="F115" i="6"/>
  <c r="H115" i="11"/>
  <c r="I115" i="11"/>
  <c r="B114" i="4"/>
  <c r="F114" i="4"/>
  <c r="H115" i="9"/>
  <c r="I115" i="9"/>
  <c r="B106" i="37"/>
  <c r="F106" i="37"/>
  <c r="H108" i="29"/>
  <c r="I108" i="29"/>
  <c r="H112" i="25"/>
  <c r="I112" i="25"/>
  <c r="H116" i="7"/>
  <c r="I116" i="7"/>
  <c r="H109" i="27"/>
  <c r="I109" i="27"/>
  <c r="B108" i="30"/>
  <c r="F108" i="30"/>
  <c r="H112" i="22"/>
  <c r="I112" i="22"/>
  <c r="B112" i="23"/>
  <c r="F112" i="23"/>
  <c r="H114" i="6"/>
  <c r="I114" i="6"/>
  <c r="H113" i="4"/>
  <c r="I113" i="4"/>
  <c r="B117" i="10"/>
  <c r="F117" i="10"/>
  <c r="H105" i="37"/>
  <c r="I105" i="37"/>
  <c r="B115" i="8"/>
  <c r="F115" i="8"/>
  <c r="B106" i="43"/>
  <c r="F106" i="43"/>
  <c r="H107" i="30"/>
  <c r="I107" i="30"/>
  <c r="B105" i="40"/>
  <c r="F105" i="40"/>
  <c r="H111" i="23"/>
  <c r="I111" i="23"/>
  <c r="B114" i="5"/>
  <c r="F114" i="5"/>
  <c r="H116" i="10"/>
  <c r="I116" i="10"/>
  <c r="B109" i="31"/>
  <c r="F109" i="31"/>
  <c r="B106" i="39"/>
  <c r="F106" i="39"/>
  <c r="B111" i="24"/>
  <c r="F111" i="24"/>
  <c r="H114" i="8"/>
  <c r="I114" i="8"/>
  <c r="H106" i="47" l="1"/>
  <c r="I106" i="47"/>
  <c r="F107" i="47"/>
  <c r="B107" i="47"/>
  <c r="D107" i="46"/>
  <c r="G106" i="46"/>
  <c r="E107" i="46"/>
  <c r="B107" i="45"/>
  <c r="F107" i="45"/>
  <c r="I106" i="45"/>
  <c r="H106" i="45"/>
  <c r="E108" i="44"/>
  <c r="F108" i="44" s="1"/>
  <c r="B108" i="44"/>
  <c r="H107" i="44"/>
  <c r="I107" i="44"/>
  <c r="J106" i="42"/>
  <c r="G107" i="42"/>
  <c r="D108" i="42"/>
  <c r="I106" i="41"/>
  <c r="H106" i="41"/>
  <c r="E107" i="41"/>
  <c r="F107" i="41" s="1"/>
  <c r="B107" i="41"/>
  <c r="H106" i="38"/>
  <c r="I106" i="38"/>
  <c r="E107" i="38"/>
  <c r="F107" i="38" s="1"/>
  <c r="B107" i="38"/>
  <c r="J114" i="8"/>
  <c r="J116" i="10"/>
  <c r="J105" i="39"/>
  <c r="J113" i="3"/>
  <c r="J105" i="43"/>
  <c r="G106" i="39"/>
  <c r="D107" i="39"/>
  <c r="E107" i="39"/>
  <c r="J111" i="23"/>
  <c r="J107" i="30"/>
  <c r="G115" i="8"/>
  <c r="D116" i="8"/>
  <c r="E116" i="8"/>
  <c r="G117" i="10"/>
  <c r="D118" i="10"/>
  <c r="E118" i="10"/>
  <c r="J114" i="6"/>
  <c r="J112" i="22"/>
  <c r="J109" i="27"/>
  <c r="J112" i="25"/>
  <c r="G106" i="37"/>
  <c r="D107" i="37"/>
  <c r="E107" i="37"/>
  <c r="G114" i="4"/>
  <c r="D115" i="4"/>
  <c r="E115" i="4"/>
  <c r="G115" i="6"/>
  <c r="D116" i="6"/>
  <c r="E116" i="6"/>
  <c r="G113" i="22"/>
  <c r="D114" i="22"/>
  <c r="E114" i="22"/>
  <c r="G110" i="27"/>
  <c r="D111" i="27"/>
  <c r="E111" i="27"/>
  <c r="J108" i="31"/>
  <c r="J113" i="5"/>
  <c r="G116" i="11"/>
  <c r="D117" i="11"/>
  <c r="E117" i="11"/>
  <c r="G109" i="28"/>
  <c r="D110" i="28"/>
  <c r="E110" i="28"/>
  <c r="J110" i="24"/>
  <c r="G111" i="24"/>
  <c r="D112" i="24"/>
  <c r="E112" i="24"/>
  <c r="G109" i="31"/>
  <c r="D110" i="31"/>
  <c r="E110" i="31"/>
  <c r="G114" i="5"/>
  <c r="D115" i="5"/>
  <c r="E115" i="5"/>
  <c r="G105" i="40"/>
  <c r="D106" i="40"/>
  <c r="E106" i="40"/>
  <c r="G106" i="43"/>
  <c r="D107" i="43"/>
  <c r="E107" i="43"/>
  <c r="J105" i="37"/>
  <c r="J113" i="4"/>
  <c r="G112" i="23"/>
  <c r="D113" i="23"/>
  <c r="E113" i="23"/>
  <c r="G108" i="30"/>
  <c r="D109" i="30"/>
  <c r="E109" i="30"/>
  <c r="J116" i="7"/>
  <c r="J108" i="29"/>
  <c r="J115" i="9"/>
  <c r="J115" i="11"/>
  <c r="J108" i="28"/>
  <c r="G117" i="7"/>
  <c r="D118" i="7"/>
  <c r="E118" i="7"/>
  <c r="G113" i="25"/>
  <c r="D114" i="25"/>
  <c r="E114" i="25"/>
  <c r="G109" i="29"/>
  <c r="D110" i="29"/>
  <c r="E110" i="29"/>
  <c r="G116" i="9"/>
  <c r="D117" i="9"/>
  <c r="E117" i="9"/>
  <c r="J104" i="40"/>
  <c r="G114" i="3"/>
  <c r="D115" i="3"/>
  <c r="E115" i="3"/>
  <c r="J106" i="47" l="1"/>
  <c r="D108" i="47"/>
  <c r="G107" i="47"/>
  <c r="E108" i="47"/>
  <c r="I106" i="46"/>
  <c r="H106" i="46"/>
  <c r="B107" i="46"/>
  <c r="F107" i="46"/>
  <c r="J106" i="45"/>
  <c r="E108" i="45"/>
  <c r="D108" i="45"/>
  <c r="G107" i="45"/>
  <c r="D109" i="44"/>
  <c r="G108" i="44"/>
  <c r="J107" i="44"/>
  <c r="J106" i="41"/>
  <c r="G107" i="38"/>
  <c r="D108" i="38"/>
  <c r="G107" i="41"/>
  <c r="D108" i="41"/>
  <c r="E108" i="42"/>
  <c r="F108" i="42" s="1"/>
  <c r="B108" i="42"/>
  <c r="J106" i="38"/>
  <c r="H107" i="42"/>
  <c r="I107" i="42"/>
  <c r="B115" i="3"/>
  <c r="F115" i="3"/>
  <c r="H114" i="3"/>
  <c r="I114" i="3"/>
  <c r="H116" i="9"/>
  <c r="I116" i="9"/>
  <c r="B114" i="25"/>
  <c r="F114" i="25"/>
  <c r="H117" i="7"/>
  <c r="I117" i="7"/>
  <c r="H108" i="30"/>
  <c r="I108" i="30"/>
  <c r="I106" i="43"/>
  <c r="H106" i="43"/>
  <c r="B110" i="31"/>
  <c r="F110" i="31"/>
  <c r="H111" i="24"/>
  <c r="I111" i="24"/>
  <c r="H109" i="28"/>
  <c r="I109" i="28"/>
  <c r="I110" i="27"/>
  <c r="H110" i="27"/>
  <c r="B115" i="4"/>
  <c r="F115" i="4"/>
  <c r="H106" i="37"/>
  <c r="I106" i="37"/>
  <c r="B110" i="29"/>
  <c r="F110" i="29"/>
  <c r="H113" i="25"/>
  <c r="I113" i="25"/>
  <c r="B115" i="5"/>
  <c r="F115" i="5"/>
  <c r="H109" i="31"/>
  <c r="I109" i="31"/>
  <c r="B116" i="6"/>
  <c r="F116" i="6"/>
  <c r="H114" i="4"/>
  <c r="I114" i="4"/>
  <c r="B116" i="8"/>
  <c r="F116" i="8"/>
  <c r="B117" i="9"/>
  <c r="F117" i="9"/>
  <c r="H109" i="29"/>
  <c r="I109" i="29"/>
  <c r="B113" i="23"/>
  <c r="F113" i="23"/>
  <c r="B106" i="40"/>
  <c r="F106" i="40"/>
  <c r="H114" i="5"/>
  <c r="I114" i="5"/>
  <c r="B117" i="11"/>
  <c r="F117" i="11"/>
  <c r="B114" i="22"/>
  <c r="F114" i="22"/>
  <c r="I115" i="6"/>
  <c r="H115" i="6"/>
  <c r="B118" i="10"/>
  <c r="F118" i="10"/>
  <c r="I115" i="8"/>
  <c r="H115" i="8"/>
  <c r="B107" i="39"/>
  <c r="F107" i="39"/>
  <c r="B118" i="7"/>
  <c r="F118" i="7"/>
  <c r="B109" i="30"/>
  <c r="F109" i="30"/>
  <c r="I112" i="23"/>
  <c r="H112" i="23"/>
  <c r="B107" i="43"/>
  <c r="F107" i="43"/>
  <c r="H105" i="40"/>
  <c r="I105" i="40"/>
  <c r="B112" i="24"/>
  <c r="F112" i="24"/>
  <c r="B110" i="28"/>
  <c r="F110" i="28"/>
  <c r="H116" i="11"/>
  <c r="I116" i="11"/>
  <c r="B111" i="27"/>
  <c r="F111" i="27"/>
  <c r="H113" i="22"/>
  <c r="I113" i="22"/>
  <c r="B107" i="37"/>
  <c r="F107" i="37"/>
  <c r="H117" i="10"/>
  <c r="I117" i="10"/>
  <c r="H106" i="39"/>
  <c r="I106" i="39"/>
  <c r="J106" i="46" l="1"/>
  <c r="D108" i="46"/>
  <c r="B108" i="46" s="1"/>
  <c r="E108" i="46"/>
  <c r="F108" i="46" s="1"/>
  <c r="G107" i="46"/>
  <c r="H107" i="47"/>
  <c r="I107" i="47"/>
  <c r="F108" i="47"/>
  <c r="B108" i="47"/>
  <c r="B108" i="45"/>
  <c r="F108" i="45"/>
  <c r="H107" i="45"/>
  <c r="I107" i="45"/>
  <c r="I108" i="44"/>
  <c r="H108" i="44"/>
  <c r="E109" i="44"/>
  <c r="F109" i="44" s="1"/>
  <c r="B109" i="44"/>
  <c r="G108" i="42"/>
  <c r="D109" i="42"/>
  <c r="E108" i="41"/>
  <c r="F108" i="41" s="1"/>
  <c r="B108" i="41"/>
  <c r="H107" i="41"/>
  <c r="I107" i="41"/>
  <c r="J114" i="3"/>
  <c r="J107" i="42"/>
  <c r="E108" i="38"/>
  <c r="F108" i="38" s="1"/>
  <c r="B108" i="38"/>
  <c r="I107" i="38"/>
  <c r="H107" i="38"/>
  <c r="J110" i="27"/>
  <c r="J106" i="43"/>
  <c r="J112" i="23"/>
  <c r="J115" i="8"/>
  <c r="J115" i="6"/>
  <c r="J106" i="39"/>
  <c r="G107" i="37"/>
  <c r="D108" i="37"/>
  <c r="E108" i="37"/>
  <c r="G111" i="27"/>
  <c r="D112" i="27"/>
  <c r="E112" i="27"/>
  <c r="G110" i="28"/>
  <c r="D111" i="28"/>
  <c r="E111" i="28"/>
  <c r="J105" i="40"/>
  <c r="G118" i="7"/>
  <c r="D119" i="7"/>
  <c r="E119" i="7"/>
  <c r="G117" i="11"/>
  <c r="D118" i="11"/>
  <c r="E118" i="11"/>
  <c r="G106" i="40"/>
  <c r="D107" i="40"/>
  <c r="E107" i="40"/>
  <c r="J109" i="29"/>
  <c r="G116" i="8"/>
  <c r="D117" i="8"/>
  <c r="E117" i="8"/>
  <c r="G116" i="6"/>
  <c r="D117" i="6"/>
  <c r="E117" i="6"/>
  <c r="G115" i="5"/>
  <c r="D116" i="5"/>
  <c r="E116" i="5"/>
  <c r="G110" i="29"/>
  <c r="D111" i="29"/>
  <c r="E111" i="29"/>
  <c r="G115" i="4"/>
  <c r="D116" i="4"/>
  <c r="E116" i="4"/>
  <c r="J109" i="28"/>
  <c r="G110" i="31"/>
  <c r="D111" i="31"/>
  <c r="E111" i="31"/>
  <c r="J108" i="30"/>
  <c r="G114" i="25"/>
  <c r="D115" i="25"/>
  <c r="E115" i="25"/>
  <c r="J117" i="10"/>
  <c r="J113" i="22"/>
  <c r="J116" i="11"/>
  <c r="G112" i="24"/>
  <c r="D113" i="24"/>
  <c r="E113" i="24"/>
  <c r="G107" i="43"/>
  <c r="D108" i="43"/>
  <c r="E108" i="43"/>
  <c r="G109" i="30"/>
  <c r="D110" i="30"/>
  <c r="E110" i="30"/>
  <c r="G107" i="39"/>
  <c r="D108" i="39"/>
  <c r="E108" i="39"/>
  <c r="G118" i="10"/>
  <c r="D119" i="10"/>
  <c r="E119" i="10"/>
  <c r="G114" i="22"/>
  <c r="D115" i="22"/>
  <c r="E115" i="22"/>
  <c r="J114" i="5"/>
  <c r="G113" i="23"/>
  <c r="D114" i="23"/>
  <c r="E114" i="23"/>
  <c r="G117" i="9"/>
  <c r="D118" i="9"/>
  <c r="E118" i="9"/>
  <c r="J114" i="4"/>
  <c r="J109" i="31"/>
  <c r="J113" i="25"/>
  <c r="J106" i="37"/>
  <c r="J111" i="24"/>
  <c r="J117" i="7"/>
  <c r="J116" i="9"/>
  <c r="G115" i="3"/>
  <c r="D116" i="3"/>
  <c r="E116" i="3"/>
  <c r="I107" i="46" l="1"/>
  <c r="H107" i="46"/>
  <c r="D109" i="47"/>
  <c r="E109" i="47" s="1"/>
  <c r="G108" i="47"/>
  <c r="G108" i="46"/>
  <c r="E109" i="46"/>
  <c r="D109" i="46"/>
  <c r="B109" i="46" s="1"/>
  <c r="J107" i="47"/>
  <c r="J107" i="45"/>
  <c r="G108" i="45"/>
  <c r="E109" i="45"/>
  <c r="D109" i="45"/>
  <c r="D110" i="44"/>
  <c r="G109" i="44"/>
  <c r="J108" i="44"/>
  <c r="J107" i="41"/>
  <c r="D109" i="41"/>
  <c r="B109" i="41" s="1"/>
  <c r="G108" i="41"/>
  <c r="E109" i="41"/>
  <c r="G108" i="38"/>
  <c r="D109" i="38"/>
  <c r="E109" i="42"/>
  <c r="F109" i="42" s="1"/>
  <c r="B109" i="42"/>
  <c r="J107" i="38"/>
  <c r="I108" i="42"/>
  <c r="H108" i="42"/>
  <c r="H115" i="3"/>
  <c r="I115" i="3"/>
  <c r="B114" i="23"/>
  <c r="F114" i="23"/>
  <c r="B115" i="22"/>
  <c r="F115" i="22"/>
  <c r="H118" i="10"/>
  <c r="I118" i="10"/>
  <c r="B108" i="43"/>
  <c r="F108" i="43"/>
  <c r="I112" i="24"/>
  <c r="H112" i="24"/>
  <c r="B111" i="29"/>
  <c r="F111" i="29"/>
  <c r="H115" i="5"/>
  <c r="I115" i="5"/>
  <c r="B118" i="11"/>
  <c r="F118" i="11"/>
  <c r="I118" i="7"/>
  <c r="H118" i="7"/>
  <c r="H110" i="28"/>
  <c r="I110" i="28"/>
  <c r="H113" i="23"/>
  <c r="I113" i="23"/>
  <c r="B110" i="30"/>
  <c r="F110" i="30"/>
  <c r="H107" i="43"/>
  <c r="I107" i="43"/>
  <c r="B115" i="25"/>
  <c r="F115" i="25"/>
  <c r="B111" i="31"/>
  <c r="F111" i="31"/>
  <c r="B116" i="4"/>
  <c r="F116" i="4"/>
  <c r="H110" i="29"/>
  <c r="I110" i="29"/>
  <c r="B117" i="8"/>
  <c r="F117" i="8"/>
  <c r="B107" i="40"/>
  <c r="F107" i="40"/>
  <c r="I117" i="11"/>
  <c r="H117" i="11"/>
  <c r="B108" i="37"/>
  <c r="F108" i="37"/>
  <c r="B118" i="9"/>
  <c r="F118" i="9"/>
  <c r="H114" i="22"/>
  <c r="I114" i="22"/>
  <c r="H117" i="9"/>
  <c r="I117" i="9"/>
  <c r="B108" i="39"/>
  <c r="F108" i="39"/>
  <c r="I109" i="30"/>
  <c r="H109" i="30"/>
  <c r="H114" i="25"/>
  <c r="I114" i="25"/>
  <c r="H110" i="31"/>
  <c r="I110" i="31"/>
  <c r="H115" i="4"/>
  <c r="I115" i="4"/>
  <c r="B117" i="6"/>
  <c r="F117" i="6"/>
  <c r="H116" i="8"/>
  <c r="I116" i="8"/>
  <c r="H106" i="40"/>
  <c r="I106" i="40"/>
  <c r="B112" i="27"/>
  <c r="F112" i="27"/>
  <c r="H107" i="37"/>
  <c r="I107" i="37"/>
  <c r="B116" i="3"/>
  <c r="F116" i="3"/>
  <c r="B119" i="10"/>
  <c r="F119" i="10"/>
  <c r="H107" i="39"/>
  <c r="I107" i="39"/>
  <c r="B113" i="24"/>
  <c r="F113" i="24"/>
  <c r="B116" i="5"/>
  <c r="F116" i="5"/>
  <c r="H116" i="6"/>
  <c r="I116" i="6"/>
  <c r="B119" i="7"/>
  <c r="F119" i="7"/>
  <c r="B111" i="28"/>
  <c r="F111" i="28"/>
  <c r="H111" i="27"/>
  <c r="I111" i="27"/>
  <c r="H108" i="47" l="1"/>
  <c r="I108" i="47"/>
  <c r="J108" i="47" s="1"/>
  <c r="F109" i="46"/>
  <c r="F109" i="47"/>
  <c r="B109" i="47"/>
  <c r="H108" i="46"/>
  <c r="I108" i="46"/>
  <c r="J107" i="46"/>
  <c r="B109" i="45"/>
  <c r="F109" i="45"/>
  <c r="I108" i="45"/>
  <c r="H108" i="45"/>
  <c r="I109" i="44"/>
  <c r="H109" i="44"/>
  <c r="E110" i="44"/>
  <c r="F110" i="44" s="1"/>
  <c r="B110" i="44"/>
  <c r="F109" i="41"/>
  <c r="D110" i="41" s="1"/>
  <c r="I108" i="38"/>
  <c r="H108" i="38"/>
  <c r="G109" i="42"/>
  <c r="D110" i="42"/>
  <c r="J108" i="42"/>
  <c r="H108" i="41"/>
  <c r="I108" i="41"/>
  <c r="E109" i="38"/>
  <c r="F109" i="38" s="1"/>
  <c r="B109" i="38"/>
  <c r="J109" i="30"/>
  <c r="J117" i="11"/>
  <c r="J107" i="43"/>
  <c r="J118" i="10"/>
  <c r="J115" i="3"/>
  <c r="J118" i="7"/>
  <c r="J111" i="27"/>
  <c r="G119" i="7"/>
  <c r="D120" i="7"/>
  <c r="E120" i="7"/>
  <c r="G116" i="5"/>
  <c r="D117" i="5"/>
  <c r="E117" i="5"/>
  <c r="J107" i="39"/>
  <c r="G116" i="3"/>
  <c r="D117" i="3"/>
  <c r="E117" i="3"/>
  <c r="G112" i="27"/>
  <c r="D113" i="27"/>
  <c r="E113" i="27"/>
  <c r="J116" i="8"/>
  <c r="J115" i="4"/>
  <c r="J114" i="25"/>
  <c r="G108" i="39"/>
  <c r="D109" i="39"/>
  <c r="E109" i="39"/>
  <c r="J114" i="22"/>
  <c r="G108" i="37"/>
  <c r="D109" i="37"/>
  <c r="E109" i="37"/>
  <c r="G107" i="40"/>
  <c r="D108" i="40"/>
  <c r="E108" i="40"/>
  <c r="J110" i="29"/>
  <c r="G111" i="31"/>
  <c r="D112" i="31"/>
  <c r="E112" i="31"/>
  <c r="J113" i="23"/>
  <c r="J115" i="5"/>
  <c r="G114" i="23"/>
  <c r="D115" i="23"/>
  <c r="E115" i="23"/>
  <c r="J112" i="24"/>
  <c r="G111" i="28"/>
  <c r="D112" i="28"/>
  <c r="E112" i="28"/>
  <c r="J116" i="6"/>
  <c r="G113" i="24"/>
  <c r="D114" i="24"/>
  <c r="E114" i="24"/>
  <c r="G119" i="10"/>
  <c r="D120" i="10"/>
  <c r="E120" i="10"/>
  <c r="J107" i="37"/>
  <c r="J106" i="40"/>
  <c r="G117" i="6"/>
  <c r="D118" i="6"/>
  <c r="E118" i="6"/>
  <c r="J110" i="31"/>
  <c r="J117" i="9"/>
  <c r="G118" i="9"/>
  <c r="D119" i="9"/>
  <c r="E119" i="9"/>
  <c r="G117" i="8"/>
  <c r="D118" i="8"/>
  <c r="E118" i="8"/>
  <c r="G116" i="4"/>
  <c r="D117" i="4"/>
  <c r="E117" i="4"/>
  <c r="G115" i="25"/>
  <c r="D116" i="25"/>
  <c r="E116" i="25"/>
  <c r="G110" i="30"/>
  <c r="D111" i="30"/>
  <c r="E111" i="30"/>
  <c r="J110" i="28"/>
  <c r="G118" i="11"/>
  <c r="D119" i="11"/>
  <c r="E119" i="11"/>
  <c r="G111" i="29"/>
  <c r="D112" i="29"/>
  <c r="E112" i="29"/>
  <c r="G108" i="43"/>
  <c r="D109" i="43"/>
  <c r="E109" i="43"/>
  <c r="G115" i="22"/>
  <c r="D116" i="22"/>
  <c r="E116" i="22"/>
  <c r="D110" i="47" l="1"/>
  <c r="G109" i="47"/>
  <c r="E110" i="47"/>
  <c r="J108" i="46"/>
  <c r="D110" i="46"/>
  <c r="B110" i="46" s="1"/>
  <c r="E110" i="46"/>
  <c r="G109" i="46"/>
  <c r="G109" i="41"/>
  <c r="H109" i="41" s="1"/>
  <c r="D110" i="45"/>
  <c r="E110" i="45"/>
  <c r="G109" i="45"/>
  <c r="J108" i="45"/>
  <c r="G110" i="44"/>
  <c r="D111" i="44"/>
  <c r="J109" i="44"/>
  <c r="J108" i="38"/>
  <c r="G109" i="38"/>
  <c r="D110" i="38"/>
  <c r="E110" i="42"/>
  <c r="F110" i="42" s="1"/>
  <c r="B110" i="42"/>
  <c r="I109" i="42"/>
  <c r="H109" i="42"/>
  <c r="E110" i="41"/>
  <c r="F110" i="41" s="1"/>
  <c r="B110" i="41"/>
  <c r="J108" i="41"/>
  <c r="I118" i="11"/>
  <c r="H118" i="11"/>
  <c r="I115" i="22"/>
  <c r="H115" i="22"/>
  <c r="B119" i="11"/>
  <c r="F119" i="11"/>
  <c r="B111" i="30"/>
  <c r="F111" i="30"/>
  <c r="H115" i="25"/>
  <c r="I115" i="25"/>
  <c r="B119" i="9"/>
  <c r="F119" i="9"/>
  <c r="H112" i="27"/>
  <c r="I112" i="27"/>
  <c r="B118" i="8"/>
  <c r="F118" i="8"/>
  <c r="I118" i="9"/>
  <c r="H118" i="9"/>
  <c r="B118" i="6"/>
  <c r="F118" i="6"/>
  <c r="B114" i="24"/>
  <c r="F114" i="24"/>
  <c r="B112" i="28"/>
  <c r="F112" i="28"/>
  <c r="B115" i="23"/>
  <c r="F115" i="23"/>
  <c r="B109" i="37"/>
  <c r="F109" i="37"/>
  <c r="B109" i="39"/>
  <c r="F109" i="39"/>
  <c r="B120" i="7"/>
  <c r="F120" i="7"/>
  <c r="B117" i="4"/>
  <c r="F117" i="4"/>
  <c r="B120" i="10"/>
  <c r="F120" i="10"/>
  <c r="H113" i="24"/>
  <c r="I113" i="24"/>
  <c r="H111" i="28"/>
  <c r="I111" i="28"/>
  <c r="H114" i="23"/>
  <c r="I114" i="23"/>
  <c r="B112" i="31"/>
  <c r="F112" i="31"/>
  <c r="B108" i="40"/>
  <c r="F108" i="40"/>
  <c r="I108" i="37"/>
  <c r="H108" i="37"/>
  <c r="H108" i="39"/>
  <c r="I108" i="39"/>
  <c r="B117" i="3"/>
  <c r="F117" i="3"/>
  <c r="B117" i="5"/>
  <c r="F117" i="5"/>
  <c r="H119" i="7"/>
  <c r="I119" i="7"/>
  <c r="B112" i="29"/>
  <c r="F112" i="29"/>
  <c r="H110" i="30"/>
  <c r="I110" i="30"/>
  <c r="B109" i="43"/>
  <c r="F109" i="43"/>
  <c r="H111" i="29"/>
  <c r="I111" i="29"/>
  <c r="H117" i="8"/>
  <c r="I117" i="8"/>
  <c r="H117" i="6"/>
  <c r="I117" i="6"/>
  <c r="B116" i="22"/>
  <c r="F116" i="22"/>
  <c r="H108" i="43"/>
  <c r="I108" i="43"/>
  <c r="B116" i="25"/>
  <c r="F116" i="25"/>
  <c r="H116" i="4"/>
  <c r="I116" i="4"/>
  <c r="H119" i="10"/>
  <c r="I119" i="10"/>
  <c r="I111" i="31"/>
  <c r="H111" i="31"/>
  <c r="H107" i="40"/>
  <c r="I107" i="40"/>
  <c r="B113" i="27"/>
  <c r="F113" i="27"/>
  <c r="H116" i="3"/>
  <c r="I116" i="3"/>
  <c r="H116" i="5"/>
  <c r="I116" i="5"/>
  <c r="I109" i="41" l="1"/>
  <c r="F110" i="46"/>
  <c r="G110" i="46" s="1"/>
  <c r="H109" i="46"/>
  <c r="I109" i="46"/>
  <c r="J109" i="46" s="1"/>
  <c r="E111" i="46"/>
  <c r="H109" i="47"/>
  <c r="I109" i="47"/>
  <c r="B110" i="47"/>
  <c r="F110" i="47"/>
  <c r="H109" i="45"/>
  <c r="I109" i="45"/>
  <c r="B110" i="45"/>
  <c r="F110" i="45"/>
  <c r="E111" i="44"/>
  <c r="F111" i="44" s="1"/>
  <c r="B111" i="44"/>
  <c r="I110" i="44"/>
  <c r="H110" i="44"/>
  <c r="J109" i="41"/>
  <c r="G110" i="41"/>
  <c r="D111" i="41"/>
  <c r="D111" i="42"/>
  <c r="B111" i="42" s="1"/>
  <c r="G110" i="42"/>
  <c r="E111" i="42"/>
  <c r="J109" i="42"/>
  <c r="E110" i="38"/>
  <c r="F110" i="38" s="1"/>
  <c r="B110" i="38"/>
  <c r="I109" i="38"/>
  <c r="H109" i="38"/>
  <c r="J118" i="9"/>
  <c r="J118" i="11"/>
  <c r="J111" i="31"/>
  <c r="J108" i="37"/>
  <c r="J116" i="5"/>
  <c r="G113" i="27"/>
  <c r="D114" i="27"/>
  <c r="E114" i="27"/>
  <c r="J116" i="4"/>
  <c r="J108" i="43"/>
  <c r="J117" i="6"/>
  <c r="J111" i="29"/>
  <c r="J110" i="30"/>
  <c r="J119" i="7"/>
  <c r="G117" i="3"/>
  <c r="D118" i="3"/>
  <c r="E118" i="3"/>
  <c r="G112" i="31"/>
  <c r="D113" i="31"/>
  <c r="E113" i="31"/>
  <c r="J111" i="28"/>
  <c r="G120" i="10"/>
  <c r="D121" i="10"/>
  <c r="E121" i="10"/>
  <c r="G120" i="7"/>
  <c r="D121" i="7"/>
  <c r="E121" i="7"/>
  <c r="G109" i="37"/>
  <c r="D110" i="37"/>
  <c r="E110" i="37"/>
  <c r="G112" i="28"/>
  <c r="D113" i="28"/>
  <c r="E113" i="28"/>
  <c r="G118" i="6"/>
  <c r="D119" i="6"/>
  <c r="E119" i="6"/>
  <c r="G118" i="8"/>
  <c r="D119" i="8"/>
  <c r="E119" i="8"/>
  <c r="G119" i="9"/>
  <c r="D120" i="9"/>
  <c r="E120" i="9"/>
  <c r="G111" i="30"/>
  <c r="D112" i="30"/>
  <c r="E112" i="30"/>
  <c r="J115" i="22"/>
  <c r="J116" i="3"/>
  <c r="J107" i="40"/>
  <c r="J119" i="10"/>
  <c r="G116" i="25"/>
  <c r="D117" i="25"/>
  <c r="E117" i="25"/>
  <c r="G116" i="22"/>
  <c r="D117" i="22"/>
  <c r="E117" i="22"/>
  <c r="J117" i="8"/>
  <c r="G109" i="43"/>
  <c r="D110" i="43"/>
  <c r="E110" i="43"/>
  <c r="G112" i="29"/>
  <c r="D113" i="29"/>
  <c r="E113" i="29"/>
  <c r="G117" i="5"/>
  <c r="D118" i="5"/>
  <c r="E118" i="5"/>
  <c r="J108" i="39"/>
  <c r="G108" i="40"/>
  <c r="D109" i="40"/>
  <c r="E109" i="40"/>
  <c r="J114" i="23"/>
  <c r="J113" i="24"/>
  <c r="G117" i="4"/>
  <c r="D118" i="4"/>
  <c r="E118" i="4"/>
  <c r="G109" i="39"/>
  <c r="D110" i="39"/>
  <c r="E110" i="39"/>
  <c r="G115" i="23"/>
  <c r="D116" i="23"/>
  <c r="E116" i="23"/>
  <c r="G114" i="24"/>
  <c r="D115" i="24"/>
  <c r="E115" i="24"/>
  <c r="J112" i="27"/>
  <c r="J115" i="25"/>
  <c r="G119" i="11"/>
  <c r="D120" i="11"/>
  <c r="E120" i="11"/>
  <c r="D111" i="46" l="1"/>
  <c r="J109" i="47"/>
  <c r="B111" i="46"/>
  <c r="F111" i="46"/>
  <c r="I110" i="46"/>
  <c r="H110" i="46"/>
  <c r="D111" i="47"/>
  <c r="E111" i="47" s="1"/>
  <c r="G110" i="47"/>
  <c r="J109" i="45"/>
  <c r="D111" i="45"/>
  <c r="E111" i="45"/>
  <c r="G110" i="45"/>
  <c r="G111" i="44"/>
  <c r="D112" i="44"/>
  <c r="B112" i="44" s="1"/>
  <c r="E112" i="44"/>
  <c r="J110" i="44"/>
  <c r="D111" i="38"/>
  <c r="B111" i="38" s="1"/>
  <c r="G110" i="38"/>
  <c r="E111" i="38"/>
  <c r="H110" i="42"/>
  <c r="I110" i="42"/>
  <c r="J109" i="38"/>
  <c r="E111" i="41"/>
  <c r="F111" i="41" s="1"/>
  <c r="B111" i="41"/>
  <c r="F111" i="42"/>
  <c r="H110" i="41"/>
  <c r="I110" i="41"/>
  <c r="B110" i="39"/>
  <c r="F110" i="39"/>
  <c r="H117" i="4"/>
  <c r="I117" i="4"/>
  <c r="B109" i="40"/>
  <c r="F109" i="40"/>
  <c r="B118" i="5"/>
  <c r="F118" i="5"/>
  <c r="H112" i="29"/>
  <c r="I112" i="29"/>
  <c r="B112" i="30"/>
  <c r="F112" i="30"/>
  <c r="H119" i="9"/>
  <c r="I119" i="9"/>
  <c r="B113" i="28"/>
  <c r="F113" i="28"/>
  <c r="I109" i="37"/>
  <c r="H109" i="37"/>
  <c r="B118" i="3"/>
  <c r="F118" i="3"/>
  <c r="B116" i="23"/>
  <c r="F116" i="23"/>
  <c r="H109" i="39"/>
  <c r="I109" i="39"/>
  <c r="I108" i="40"/>
  <c r="H108" i="40"/>
  <c r="H117" i="5"/>
  <c r="I117" i="5"/>
  <c r="B117" i="25"/>
  <c r="F117" i="25"/>
  <c r="H111" i="30"/>
  <c r="I111" i="30"/>
  <c r="B119" i="6"/>
  <c r="F119" i="6"/>
  <c r="H112" i="28"/>
  <c r="I112" i="28"/>
  <c r="B121" i="10"/>
  <c r="F121" i="10"/>
  <c r="B113" i="31"/>
  <c r="F113" i="31"/>
  <c r="I117" i="3"/>
  <c r="H117" i="3"/>
  <c r="B114" i="27"/>
  <c r="F114" i="27"/>
  <c r="B120" i="11"/>
  <c r="F120" i="11"/>
  <c r="H119" i="11"/>
  <c r="I119" i="11"/>
  <c r="B115" i="24"/>
  <c r="F115" i="24"/>
  <c r="H115" i="23"/>
  <c r="I115" i="23"/>
  <c r="B110" i="43"/>
  <c r="F110" i="43"/>
  <c r="B117" i="22"/>
  <c r="F117" i="22"/>
  <c r="H116" i="25"/>
  <c r="I116" i="25"/>
  <c r="B119" i="8"/>
  <c r="F119" i="8"/>
  <c r="H118" i="6"/>
  <c r="I118" i="6"/>
  <c r="B121" i="7"/>
  <c r="F121" i="7"/>
  <c r="H120" i="10"/>
  <c r="I120" i="10"/>
  <c r="I112" i="31"/>
  <c r="H112" i="31"/>
  <c r="H113" i="27"/>
  <c r="I113" i="27"/>
  <c r="H114" i="24"/>
  <c r="I114" i="24"/>
  <c r="B118" i="4"/>
  <c r="F118" i="4"/>
  <c r="B113" i="29"/>
  <c r="F113" i="29"/>
  <c r="H109" i="43"/>
  <c r="I109" i="43"/>
  <c r="H116" i="22"/>
  <c r="I116" i="22"/>
  <c r="B120" i="9"/>
  <c r="F120" i="9"/>
  <c r="H118" i="8"/>
  <c r="I118" i="8"/>
  <c r="B110" i="37"/>
  <c r="F110" i="37"/>
  <c r="H120" i="7"/>
  <c r="I120" i="7"/>
  <c r="J110" i="46" l="1"/>
  <c r="H110" i="47"/>
  <c r="I110" i="47"/>
  <c r="J110" i="47" s="1"/>
  <c r="D112" i="46"/>
  <c r="G111" i="46"/>
  <c r="E112" i="46"/>
  <c r="B111" i="47"/>
  <c r="F111" i="47"/>
  <c r="I110" i="45"/>
  <c r="H110" i="45"/>
  <c r="B111" i="45"/>
  <c r="F111" i="45"/>
  <c r="F112" i="44"/>
  <c r="E113" i="44" s="1"/>
  <c r="H111" i="44"/>
  <c r="I111" i="44"/>
  <c r="J110" i="41"/>
  <c r="F111" i="38"/>
  <c r="D112" i="38" s="1"/>
  <c r="B112" i="38" s="1"/>
  <c r="D112" i="41"/>
  <c r="G111" i="41"/>
  <c r="G111" i="42"/>
  <c r="D112" i="42"/>
  <c r="B112" i="42" s="1"/>
  <c r="E112" i="42"/>
  <c r="I110" i="38"/>
  <c r="H110" i="38"/>
  <c r="J110" i="42"/>
  <c r="J117" i="4"/>
  <c r="J108" i="40"/>
  <c r="J117" i="3"/>
  <c r="J109" i="37"/>
  <c r="J112" i="31"/>
  <c r="J120" i="7"/>
  <c r="J118" i="8"/>
  <c r="J116" i="22"/>
  <c r="G113" i="29"/>
  <c r="D114" i="29"/>
  <c r="E114" i="29"/>
  <c r="J114" i="24"/>
  <c r="G121" i="7"/>
  <c r="D122" i="7"/>
  <c r="E122" i="7"/>
  <c r="G119" i="8"/>
  <c r="D120" i="8"/>
  <c r="E120" i="8"/>
  <c r="G117" i="22"/>
  <c r="D118" i="22"/>
  <c r="E118" i="22"/>
  <c r="J115" i="23"/>
  <c r="J119" i="11"/>
  <c r="G114" i="27"/>
  <c r="D115" i="27"/>
  <c r="E115" i="27"/>
  <c r="G113" i="31"/>
  <c r="D114" i="31"/>
  <c r="E114" i="31"/>
  <c r="J112" i="28"/>
  <c r="J111" i="30"/>
  <c r="J117" i="5"/>
  <c r="J109" i="39"/>
  <c r="G118" i="3"/>
  <c r="D119" i="3"/>
  <c r="E119" i="3"/>
  <c r="G113" i="28"/>
  <c r="D114" i="28"/>
  <c r="E114" i="28"/>
  <c r="G112" i="30"/>
  <c r="D113" i="30"/>
  <c r="E113" i="30"/>
  <c r="G118" i="5"/>
  <c r="D119" i="5"/>
  <c r="E119" i="5"/>
  <c r="G110" i="37"/>
  <c r="D111" i="37"/>
  <c r="E111" i="37"/>
  <c r="G120" i="9"/>
  <c r="D121" i="9"/>
  <c r="E121" i="9"/>
  <c r="J109" i="43"/>
  <c r="G118" i="4"/>
  <c r="D119" i="4"/>
  <c r="E119" i="4"/>
  <c r="J113" i="27"/>
  <c r="J120" i="10"/>
  <c r="J118" i="6"/>
  <c r="J116" i="25"/>
  <c r="G110" i="43"/>
  <c r="D111" i="43"/>
  <c r="E111" i="43"/>
  <c r="G115" i="24"/>
  <c r="D116" i="24"/>
  <c r="E116" i="24"/>
  <c r="G120" i="11"/>
  <c r="D121" i="11"/>
  <c r="E121" i="11"/>
  <c r="G121" i="10"/>
  <c r="D122" i="10"/>
  <c r="E122" i="10"/>
  <c r="G119" i="6"/>
  <c r="D120" i="6"/>
  <c r="E120" i="6"/>
  <c r="G117" i="25"/>
  <c r="D118" i="25"/>
  <c r="E118" i="25"/>
  <c r="G116" i="23"/>
  <c r="D117" i="23"/>
  <c r="E117" i="23"/>
  <c r="J119" i="9"/>
  <c r="J112" i="29"/>
  <c r="G109" i="40"/>
  <c r="D110" i="40"/>
  <c r="E110" i="40"/>
  <c r="G110" i="39"/>
  <c r="D111" i="39"/>
  <c r="E111" i="39"/>
  <c r="D112" i="47" l="1"/>
  <c r="G111" i="47"/>
  <c r="E112" i="47"/>
  <c r="F112" i="46"/>
  <c r="B112" i="46"/>
  <c r="I111" i="46"/>
  <c r="H111" i="46"/>
  <c r="E112" i="45"/>
  <c r="G111" i="45"/>
  <c r="D112" i="45"/>
  <c r="J110" i="45"/>
  <c r="D113" i="44"/>
  <c r="B113" i="44" s="1"/>
  <c r="G112" i="44"/>
  <c r="H112" i="44" s="1"/>
  <c r="J111" i="44"/>
  <c r="E112" i="38"/>
  <c r="F112" i="38" s="1"/>
  <c r="G111" i="38"/>
  <c r="H111" i="38" s="1"/>
  <c r="F112" i="42"/>
  <c r="I111" i="42"/>
  <c r="H111" i="42"/>
  <c r="I111" i="41"/>
  <c r="H111" i="41"/>
  <c r="J110" i="38"/>
  <c r="E112" i="41"/>
  <c r="F112" i="41" s="1"/>
  <c r="B112" i="41"/>
  <c r="B120" i="6"/>
  <c r="F120" i="6"/>
  <c r="I121" i="10"/>
  <c r="H121" i="10"/>
  <c r="B111" i="43"/>
  <c r="F111" i="43"/>
  <c r="I118" i="4"/>
  <c r="H118" i="4"/>
  <c r="I120" i="9"/>
  <c r="H120" i="9"/>
  <c r="B113" i="30"/>
  <c r="F113" i="30"/>
  <c r="H113" i="28"/>
  <c r="I113" i="28"/>
  <c r="B115" i="27"/>
  <c r="F115" i="27"/>
  <c r="B120" i="8"/>
  <c r="F120" i="8"/>
  <c r="H121" i="7"/>
  <c r="I121" i="7"/>
  <c r="H113" i="29"/>
  <c r="I113" i="29"/>
  <c r="H110" i="39"/>
  <c r="I110" i="39"/>
  <c r="B110" i="40"/>
  <c r="F110" i="40"/>
  <c r="B118" i="25"/>
  <c r="F118" i="25"/>
  <c r="H119" i="6"/>
  <c r="I119" i="6"/>
  <c r="B116" i="24"/>
  <c r="F116" i="24"/>
  <c r="I110" i="43"/>
  <c r="H110" i="43"/>
  <c r="B119" i="5"/>
  <c r="F119" i="5"/>
  <c r="H112" i="30"/>
  <c r="I112" i="30"/>
  <c r="B114" i="31"/>
  <c r="F114" i="31"/>
  <c r="I114" i="27"/>
  <c r="H114" i="27"/>
  <c r="B118" i="22"/>
  <c r="F118" i="22"/>
  <c r="H119" i="8"/>
  <c r="I119" i="8"/>
  <c r="B111" i="39"/>
  <c r="F111" i="39"/>
  <c r="H109" i="40"/>
  <c r="I109" i="40"/>
  <c r="B117" i="23"/>
  <c r="F117" i="23"/>
  <c r="H117" i="25"/>
  <c r="I117" i="25"/>
  <c r="B121" i="11"/>
  <c r="F121" i="11"/>
  <c r="H115" i="24"/>
  <c r="I115" i="24"/>
  <c r="B111" i="37"/>
  <c r="F111" i="37"/>
  <c r="H118" i="5"/>
  <c r="I118" i="5"/>
  <c r="B119" i="3"/>
  <c r="F119" i="3"/>
  <c r="H113" i="31"/>
  <c r="I113" i="31"/>
  <c r="H117" i="22"/>
  <c r="I117" i="22"/>
  <c r="I116" i="23"/>
  <c r="H116" i="23"/>
  <c r="B122" i="10"/>
  <c r="F122" i="10"/>
  <c r="I120" i="11"/>
  <c r="H120" i="11"/>
  <c r="B119" i="4"/>
  <c r="F119" i="4"/>
  <c r="B121" i="9"/>
  <c r="F121" i="9"/>
  <c r="H110" i="37"/>
  <c r="I110" i="37"/>
  <c r="B114" i="28"/>
  <c r="F114" i="28"/>
  <c r="I118" i="3"/>
  <c r="H118" i="3"/>
  <c r="B122" i="7"/>
  <c r="F122" i="7"/>
  <c r="B114" i="29"/>
  <c r="F114" i="29"/>
  <c r="G112" i="46" l="1"/>
  <c r="E113" i="46"/>
  <c r="D113" i="46"/>
  <c r="J111" i="46"/>
  <c r="H111" i="47"/>
  <c r="I111" i="47"/>
  <c r="B112" i="47"/>
  <c r="F112" i="47"/>
  <c r="I112" i="44"/>
  <c r="J112" i="44" s="1"/>
  <c r="B112" i="45"/>
  <c r="F112" i="45"/>
  <c r="I111" i="45"/>
  <c r="H111" i="45"/>
  <c r="F113" i="44"/>
  <c r="G113" i="44" s="1"/>
  <c r="I111" i="38"/>
  <c r="J111" i="38" s="1"/>
  <c r="J111" i="42"/>
  <c r="D113" i="41"/>
  <c r="G112" i="41"/>
  <c r="J111" i="41"/>
  <c r="J114" i="27"/>
  <c r="D113" i="38"/>
  <c r="B113" i="38" s="1"/>
  <c r="G112" i="38"/>
  <c r="E113" i="38"/>
  <c r="D113" i="42"/>
  <c r="B113" i="42" s="1"/>
  <c r="G112" i="42"/>
  <c r="E113" i="42"/>
  <c r="J110" i="43"/>
  <c r="J120" i="9"/>
  <c r="J113" i="31"/>
  <c r="J118" i="5"/>
  <c r="J118" i="3"/>
  <c r="G114" i="28"/>
  <c r="D115" i="28"/>
  <c r="E115" i="28"/>
  <c r="J120" i="11"/>
  <c r="G114" i="29"/>
  <c r="D115" i="29"/>
  <c r="E115" i="29"/>
  <c r="J110" i="37"/>
  <c r="G119" i="4"/>
  <c r="D120" i="4"/>
  <c r="E120" i="4"/>
  <c r="G122" i="10"/>
  <c r="D123" i="10"/>
  <c r="E123" i="10"/>
  <c r="J117" i="22"/>
  <c r="G119" i="3"/>
  <c r="D120" i="3"/>
  <c r="E120" i="3"/>
  <c r="G111" i="37"/>
  <c r="D112" i="37"/>
  <c r="E112" i="37"/>
  <c r="G121" i="11"/>
  <c r="D122" i="11"/>
  <c r="E122" i="11"/>
  <c r="G117" i="23"/>
  <c r="D118" i="23"/>
  <c r="E118" i="23"/>
  <c r="G111" i="39"/>
  <c r="D112" i="39"/>
  <c r="E112" i="39"/>
  <c r="G118" i="22"/>
  <c r="D119" i="22"/>
  <c r="E119" i="22"/>
  <c r="G114" i="31"/>
  <c r="D115" i="31"/>
  <c r="E115" i="31"/>
  <c r="G119" i="5"/>
  <c r="D120" i="5"/>
  <c r="E120" i="5"/>
  <c r="G116" i="24"/>
  <c r="D117" i="24"/>
  <c r="E117" i="24"/>
  <c r="G118" i="25"/>
  <c r="D119" i="25"/>
  <c r="E119" i="25"/>
  <c r="J110" i="39"/>
  <c r="J121" i="7"/>
  <c r="G115" i="27"/>
  <c r="D116" i="27"/>
  <c r="E116" i="27"/>
  <c r="G113" i="30"/>
  <c r="D114" i="30"/>
  <c r="E114" i="30"/>
  <c r="J118" i="4"/>
  <c r="J121" i="10"/>
  <c r="G122" i="7"/>
  <c r="D123" i="7"/>
  <c r="E123" i="7"/>
  <c r="G121" i="9"/>
  <c r="D122" i="9"/>
  <c r="E122" i="9"/>
  <c r="J115" i="24"/>
  <c r="J117" i="25"/>
  <c r="J109" i="40"/>
  <c r="J119" i="8"/>
  <c r="J112" i="30"/>
  <c r="J119" i="6"/>
  <c r="G110" i="40"/>
  <c r="D111" i="40"/>
  <c r="E111" i="40"/>
  <c r="J113" i="29"/>
  <c r="G120" i="8"/>
  <c r="D121" i="8"/>
  <c r="E121" i="8"/>
  <c r="J113" i="28"/>
  <c r="G111" i="43"/>
  <c r="D112" i="43"/>
  <c r="E112" i="43"/>
  <c r="G120" i="6"/>
  <c r="D121" i="6"/>
  <c r="E121" i="6"/>
  <c r="J116" i="23"/>
  <c r="J111" i="47" l="1"/>
  <c r="D113" i="47"/>
  <c r="G112" i="47"/>
  <c r="E113" i="47"/>
  <c r="B113" i="46"/>
  <c r="F113" i="46"/>
  <c r="I112" i="46"/>
  <c r="H112" i="46"/>
  <c r="E114" i="44"/>
  <c r="D114" i="44"/>
  <c r="B114" i="44" s="1"/>
  <c r="J111" i="45"/>
  <c r="E113" i="45"/>
  <c r="G112" i="45"/>
  <c r="D113" i="45"/>
  <c r="I113" i="44"/>
  <c r="H113" i="44"/>
  <c r="F113" i="42"/>
  <c r="G113" i="42" s="1"/>
  <c r="F113" i="38"/>
  <c r="G113" i="38" s="1"/>
  <c r="H112" i="38"/>
  <c r="I112" i="38"/>
  <c r="H112" i="42"/>
  <c r="I112" i="42"/>
  <c r="I112" i="41"/>
  <c r="H112" i="41"/>
  <c r="E113" i="41"/>
  <c r="F113" i="41" s="1"/>
  <c r="B113" i="41"/>
  <c r="B121" i="6"/>
  <c r="F121" i="6"/>
  <c r="H111" i="43"/>
  <c r="I111" i="43"/>
  <c r="H120" i="8"/>
  <c r="I120" i="8"/>
  <c r="H110" i="40"/>
  <c r="I110" i="40"/>
  <c r="B122" i="9"/>
  <c r="F122" i="9"/>
  <c r="H122" i="7"/>
  <c r="I122" i="7"/>
  <c r="B114" i="30"/>
  <c r="F114" i="30"/>
  <c r="H115" i="27"/>
  <c r="I115" i="27"/>
  <c r="B119" i="25"/>
  <c r="F119" i="25"/>
  <c r="I116" i="24"/>
  <c r="H116" i="24"/>
  <c r="B119" i="22"/>
  <c r="F119" i="22"/>
  <c r="H111" i="39"/>
  <c r="I111" i="39"/>
  <c r="B112" i="37"/>
  <c r="F112" i="37"/>
  <c r="H119" i="3"/>
  <c r="I119" i="3"/>
  <c r="H122" i="10"/>
  <c r="I122" i="10"/>
  <c r="B112" i="43"/>
  <c r="F112" i="43"/>
  <c r="H120" i="6"/>
  <c r="I120" i="6"/>
  <c r="H121" i="9"/>
  <c r="I121" i="9"/>
  <c r="I113" i="30"/>
  <c r="H113" i="30"/>
  <c r="H118" i="25"/>
  <c r="I118" i="25"/>
  <c r="B115" i="31"/>
  <c r="F115" i="31"/>
  <c r="I118" i="22"/>
  <c r="H118" i="22"/>
  <c r="B122" i="11"/>
  <c r="F122" i="11"/>
  <c r="H111" i="37"/>
  <c r="I111" i="37"/>
  <c r="B120" i="5"/>
  <c r="F120" i="5"/>
  <c r="I114" i="31"/>
  <c r="H114" i="31"/>
  <c r="B118" i="23"/>
  <c r="F118" i="23"/>
  <c r="H121" i="11"/>
  <c r="I121" i="11"/>
  <c r="B120" i="4"/>
  <c r="F120" i="4"/>
  <c r="B115" i="29"/>
  <c r="F115" i="29"/>
  <c r="B115" i="28"/>
  <c r="F115" i="28"/>
  <c r="B121" i="8"/>
  <c r="F121" i="8"/>
  <c r="B111" i="40"/>
  <c r="F111" i="40"/>
  <c r="B123" i="7"/>
  <c r="F123" i="7"/>
  <c r="B116" i="27"/>
  <c r="F116" i="27"/>
  <c r="B117" i="24"/>
  <c r="F117" i="24"/>
  <c r="I119" i="5"/>
  <c r="H119" i="5"/>
  <c r="B112" i="39"/>
  <c r="F112" i="39"/>
  <c r="H117" i="23"/>
  <c r="I117" i="23"/>
  <c r="B120" i="3"/>
  <c r="F120" i="3"/>
  <c r="B123" i="10"/>
  <c r="F123" i="10"/>
  <c r="H119" i="4"/>
  <c r="I119" i="4"/>
  <c r="I114" i="29"/>
  <c r="H114" i="29"/>
  <c r="H114" i="28"/>
  <c r="I114" i="28"/>
  <c r="J112" i="46" l="1"/>
  <c r="I112" i="47"/>
  <c r="H112" i="47"/>
  <c r="G113" i="46"/>
  <c r="E114" i="46"/>
  <c r="D114" i="46"/>
  <c r="B113" i="47"/>
  <c r="F113" i="47"/>
  <c r="F114" i="44"/>
  <c r="E115" i="44" s="1"/>
  <c r="B113" i="45"/>
  <c r="F113" i="45"/>
  <c r="I112" i="45"/>
  <c r="H112" i="45"/>
  <c r="D114" i="42"/>
  <c r="B114" i="42" s="1"/>
  <c r="D114" i="38"/>
  <c r="B114" i="38" s="1"/>
  <c r="J113" i="44"/>
  <c r="J112" i="42"/>
  <c r="J112" i="38"/>
  <c r="G113" i="41"/>
  <c r="D114" i="41"/>
  <c r="H113" i="42"/>
  <c r="I113" i="42"/>
  <c r="E114" i="42"/>
  <c r="E114" i="38"/>
  <c r="J112" i="41"/>
  <c r="I113" i="38"/>
  <c r="H113" i="38"/>
  <c r="J121" i="11"/>
  <c r="J111" i="37"/>
  <c r="J118" i="25"/>
  <c r="J119" i="3"/>
  <c r="J111" i="39"/>
  <c r="J115" i="27"/>
  <c r="J122" i="7"/>
  <c r="J110" i="40"/>
  <c r="J111" i="43"/>
  <c r="J120" i="8"/>
  <c r="J114" i="29"/>
  <c r="J119" i="5"/>
  <c r="J113" i="30"/>
  <c r="J114" i="28"/>
  <c r="J119" i="4"/>
  <c r="G120" i="3"/>
  <c r="D121" i="3"/>
  <c r="E121" i="3"/>
  <c r="G112" i="39"/>
  <c r="D113" i="39"/>
  <c r="E113" i="39"/>
  <c r="G117" i="24"/>
  <c r="D118" i="24"/>
  <c r="E118" i="24"/>
  <c r="G123" i="7"/>
  <c r="D124" i="7"/>
  <c r="E124" i="7"/>
  <c r="G121" i="8"/>
  <c r="D122" i="8"/>
  <c r="E122" i="8"/>
  <c r="G115" i="29"/>
  <c r="D116" i="29"/>
  <c r="E116" i="29"/>
  <c r="J121" i="9"/>
  <c r="G112" i="43"/>
  <c r="D113" i="43"/>
  <c r="E113" i="43"/>
  <c r="J114" i="31"/>
  <c r="J118" i="22"/>
  <c r="J116" i="24"/>
  <c r="G123" i="10"/>
  <c r="D124" i="10"/>
  <c r="E124" i="10"/>
  <c r="J117" i="23"/>
  <c r="G116" i="27"/>
  <c r="D117" i="27"/>
  <c r="E117" i="27"/>
  <c r="G111" i="40"/>
  <c r="D112" i="40"/>
  <c r="E112" i="40"/>
  <c r="G115" i="28"/>
  <c r="D116" i="28"/>
  <c r="E116" i="28"/>
  <c r="G120" i="4"/>
  <c r="D121" i="4"/>
  <c r="E121" i="4"/>
  <c r="G118" i="23"/>
  <c r="D119" i="23"/>
  <c r="E119" i="23"/>
  <c r="G120" i="5"/>
  <c r="D121" i="5"/>
  <c r="E121" i="5"/>
  <c r="G122" i="11"/>
  <c r="D123" i="11"/>
  <c r="E123" i="11"/>
  <c r="G115" i="31"/>
  <c r="D116" i="31"/>
  <c r="E116" i="31"/>
  <c r="J120" i="6"/>
  <c r="J122" i="10"/>
  <c r="G112" i="37"/>
  <c r="D113" i="37"/>
  <c r="E113" i="37"/>
  <c r="G119" i="22"/>
  <c r="D120" i="22"/>
  <c r="E120" i="22"/>
  <c r="G119" i="25"/>
  <c r="D120" i="25"/>
  <c r="E120" i="25"/>
  <c r="G114" i="30"/>
  <c r="D115" i="30"/>
  <c r="E115" i="30"/>
  <c r="G122" i="9"/>
  <c r="D123" i="9"/>
  <c r="E123" i="9"/>
  <c r="G121" i="6"/>
  <c r="D122" i="6"/>
  <c r="E122" i="6"/>
  <c r="B114" i="46" l="1"/>
  <c r="F114" i="46"/>
  <c r="J112" i="47"/>
  <c r="D114" i="47"/>
  <c r="E114" i="47" s="1"/>
  <c r="G113" i="47"/>
  <c r="I113" i="46"/>
  <c r="H113" i="46"/>
  <c r="G114" i="44"/>
  <c r="H114" i="44" s="1"/>
  <c r="D115" i="44"/>
  <c r="B115" i="44" s="1"/>
  <c r="F114" i="42"/>
  <c r="E115" i="42" s="1"/>
  <c r="D114" i="45"/>
  <c r="G113" i="45"/>
  <c r="E114" i="45"/>
  <c r="J112" i="45"/>
  <c r="F114" i="38"/>
  <c r="G114" i="38" s="1"/>
  <c r="J113" i="38"/>
  <c r="J113" i="42"/>
  <c r="E114" i="41"/>
  <c r="F114" i="41" s="1"/>
  <c r="B114" i="41"/>
  <c r="H113" i="41"/>
  <c r="I113" i="41"/>
  <c r="B115" i="30"/>
  <c r="F115" i="30"/>
  <c r="I119" i="25"/>
  <c r="H119" i="25"/>
  <c r="B121" i="5"/>
  <c r="F121" i="5"/>
  <c r="H118" i="23"/>
  <c r="I118" i="23"/>
  <c r="B112" i="40"/>
  <c r="F112" i="40"/>
  <c r="H116" i="27"/>
  <c r="I116" i="27"/>
  <c r="H123" i="10"/>
  <c r="I123" i="10"/>
  <c r="B122" i="8"/>
  <c r="F122" i="8"/>
  <c r="H123" i="7"/>
  <c r="I123" i="7"/>
  <c r="B121" i="3"/>
  <c r="F121" i="3"/>
  <c r="B123" i="9"/>
  <c r="F123" i="9"/>
  <c r="H114" i="30"/>
  <c r="I114" i="30"/>
  <c r="B113" i="37"/>
  <c r="F113" i="37"/>
  <c r="B123" i="11"/>
  <c r="F123" i="11"/>
  <c r="I120" i="5"/>
  <c r="H120" i="5"/>
  <c r="B116" i="28"/>
  <c r="F116" i="28"/>
  <c r="H111" i="40"/>
  <c r="I111" i="40"/>
  <c r="B113" i="43"/>
  <c r="F113" i="43"/>
  <c r="B116" i="29"/>
  <c r="F116" i="29"/>
  <c r="H121" i="8"/>
  <c r="I121" i="8"/>
  <c r="B113" i="39"/>
  <c r="F113" i="39"/>
  <c r="H120" i="3"/>
  <c r="I120" i="3"/>
  <c r="B120" i="22"/>
  <c r="F120" i="22"/>
  <c r="H112" i="37"/>
  <c r="I112" i="37"/>
  <c r="B116" i="31"/>
  <c r="F116" i="31"/>
  <c r="H122" i="11"/>
  <c r="I122" i="11"/>
  <c r="B121" i="4"/>
  <c r="F121" i="4"/>
  <c r="H115" i="28"/>
  <c r="I115" i="28"/>
  <c r="I112" i="43"/>
  <c r="H112" i="43"/>
  <c r="I115" i="29"/>
  <c r="H115" i="29"/>
  <c r="B118" i="24"/>
  <c r="F118" i="24"/>
  <c r="H112" i="39"/>
  <c r="I112" i="39"/>
  <c r="B122" i="6"/>
  <c r="F122" i="6"/>
  <c r="I122" i="9"/>
  <c r="H122" i="9"/>
  <c r="H121" i="6"/>
  <c r="I121" i="6"/>
  <c r="B120" i="25"/>
  <c r="F120" i="25"/>
  <c r="H119" i="22"/>
  <c r="I119" i="22"/>
  <c r="H115" i="31"/>
  <c r="I115" i="31"/>
  <c r="B119" i="23"/>
  <c r="F119" i="23"/>
  <c r="H120" i="4"/>
  <c r="I120" i="4"/>
  <c r="B117" i="27"/>
  <c r="F117" i="27"/>
  <c r="B124" i="10"/>
  <c r="F124" i="10"/>
  <c r="B124" i="7"/>
  <c r="F124" i="7"/>
  <c r="H117" i="24"/>
  <c r="I117" i="24"/>
  <c r="J113" i="46" l="1"/>
  <c r="B114" i="47"/>
  <c r="F114" i="47"/>
  <c r="D115" i="46"/>
  <c r="B115" i="46" s="1"/>
  <c r="G114" i="46"/>
  <c r="E115" i="46"/>
  <c r="H113" i="47"/>
  <c r="I113" i="47"/>
  <c r="J113" i="47" s="1"/>
  <c r="D115" i="38"/>
  <c r="I114" i="44"/>
  <c r="J114" i="44" s="1"/>
  <c r="G114" i="42"/>
  <c r="H114" i="42" s="1"/>
  <c r="F115" i="44"/>
  <c r="D116" i="44" s="1"/>
  <c r="B116" i="44" s="1"/>
  <c r="D115" i="42"/>
  <c r="B115" i="42" s="1"/>
  <c r="H113" i="45"/>
  <c r="I113" i="45"/>
  <c r="B114" i="45"/>
  <c r="F114" i="45"/>
  <c r="J113" i="41"/>
  <c r="G114" i="41"/>
  <c r="D115" i="41"/>
  <c r="I114" i="38"/>
  <c r="H114" i="38"/>
  <c r="E115" i="38"/>
  <c r="F115" i="38" s="1"/>
  <c r="B115" i="38"/>
  <c r="J112" i="43"/>
  <c r="J120" i="5"/>
  <c r="J116" i="27"/>
  <c r="J117" i="24"/>
  <c r="J120" i="4"/>
  <c r="J119" i="25"/>
  <c r="J122" i="9"/>
  <c r="J115" i="29"/>
  <c r="G124" i="10"/>
  <c r="D125" i="10"/>
  <c r="E125" i="10"/>
  <c r="J115" i="31"/>
  <c r="G120" i="25"/>
  <c r="D121" i="25"/>
  <c r="E121" i="25"/>
  <c r="J112" i="39"/>
  <c r="J115" i="28"/>
  <c r="J122" i="11"/>
  <c r="J112" i="37"/>
  <c r="J120" i="3"/>
  <c r="J121" i="8"/>
  <c r="G113" i="43"/>
  <c r="D114" i="43"/>
  <c r="E114" i="43"/>
  <c r="G116" i="28"/>
  <c r="D117" i="28"/>
  <c r="E117" i="28"/>
  <c r="G123" i="11"/>
  <c r="D124" i="11"/>
  <c r="E124" i="11"/>
  <c r="J114" i="30"/>
  <c r="G121" i="3"/>
  <c r="D122" i="3"/>
  <c r="E122" i="3"/>
  <c r="G122" i="8"/>
  <c r="D123" i="8"/>
  <c r="E123" i="8"/>
  <c r="J118" i="23"/>
  <c r="G124" i="7"/>
  <c r="D125" i="7"/>
  <c r="E125" i="7"/>
  <c r="G117" i="27"/>
  <c r="D118" i="27"/>
  <c r="E118" i="27"/>
  <c r="G119" i="23"/>
  <c r="D120" i="23"/>
  <c r="E120" i="23"/>
  <c r="J119" i="22"/>
  <c r="J121" i="6"/>
  <c r="G122" i="6"/>
  <c r="D123" i="6"/>
  <c r="E123" i="6"/>
  <c r="G118" i="24"/>
  <c r="D119" i="24"/>
  <c r="E119" i="24"/>
  <c r="G121" i="4"/>
  <c r="D122" i="4"/>
  <c r="E122" i="4"/>
  <c r="G116" i="31"/>
  <c r="D117" i="31"/>
  <c r="E117" i="31"/>
  <c r="G120" i="22"/>
  <c r="D121" i="22"/>
  <c r="E121" i="22"/>
  <c r="G113" i="39"/>
  <c r="D114" i="39"/>
  <c r="E114" i="39"/>
  <c r="G116" i="29"/>
  <c r="D117" i="29"/>
  <c r="E117" i="29"/>
  <c r="J111" i="40"/>
  <c r="G113" i="37"/>
  <c r="D114" i="37"/>
  <c r="E114" i="37"/>
  <c r="G123" i="9"/>
  <c r="D124" i="9"/>
  <c r="E124" i="9"/>
  <c r="J123" i="7"/>
  <c r="J123" i="10"/>
  <c r="G112" i="40"/>
  <c r="D113" i="40"/>
  <c r="E113" i="40"/>
  <c r="G121" i="5"/>
  <c r="D122" i="5"/>
  <c r="E122" i="5"/>
  <c r="G115" i="30"/>
  <c r="D116" i="30"/>
  <c r="E116" i="30"/>
  <c r="I114" i="42" l="1"/>
  <c r="D115" i="47"/>
  <c r="G114" i="47"/>
  <c r="E115" i="47"/>
  <c r="F115" i="46"/>
  <c r="H114" i="46"/>
  <c r="I114" i="46"/>
  <c r="F115" i="42"/>
  <c r="D116" i="42" s="1"/>
  <c r="B116" i="42" s="1"/>
  <c r="E116" i="44"/>
  <c r="F116" i="44" s="1"/>
  <c r="G116" i="44" s="1"/>
  <c r="G115" i="44"/>
  <c r="J113" i="45"/>
  <c r="G114" i="45"/>
  <c r="E115" i="45"/>
  <c r="D115" i="45"/>
  <c r="J114" i="38"/>
  <c r="D116" i="38"/>
  <c r="G115" i="38"/>
  <c r="J114" i="42"/>
  <c r="E115" i="41"/>
  <c r="F115" i="41" s="1"/>
  <c r="B115" i="41"/>
  <c r="I114" i="41"/>
  <c r="H114" i="41"/>
  <c r="B116" i="30"/>
  <c r="F116" i="30"/>
  <c r="B122" i="5"/>
  <c r="F122" i="5"/>
  <c r="H112" i="40"/>
  <c r="I112" i="40"/>
  <c r="B124" i="9"/>
  <c r="F124" i="9"/>
  <c r="H113" i="37"/>
  <c r="I113" i="37"/>
  <c r="H116" i="29"/>
  <c r="I116" i="29"/>
  <c r="B117" i="31"/>
  <c r="F117" i="31"/>
  <c r="H121" i="4"/>
  <c r="I121" i="4"/>
  <c r="B125" i="7"/>
  <c r="F125" i="7"/>
  <c r="B123" i="8"/>
  <c r="F123" i="8"/>
  <c r="H121" i="3"/>
  <c r="I121" i="3"/>
  <c r="H123" i="11"/>
  <c r="I123" i="11"/>
  <c r="H121" i="5"/>
  <c r="I121" i="5"/>
  <c r="I123" i="9"/>
  <c r="H123" i="9"/>
  <c r="B121" i="22"/>
  <c r="F121" i="22"/>
  <c r="H116" i="31"/>
  <c r="I116" i="31"/>
  <c r="B123" i="6"/>
  <c r="F123" i="6"/>
  <c r="B118" i="27"/>
  <c r="F118" i="27"/>
  <c r="H124" i="7"/>
  <c r="I124" i="7"/>
  <c r="H122" i="8"/>
  <c r="I122" i="8"/>
  <c r="B114" i="43"/>
  <c r="F114" i="43"/>
  <c r="H115" i="30"/>
  <c r="I115" i="30"/>
  <c r="B114" i="39"/>
  <c r="F114" i="39"/>
  <c r="H120" i="22"/>
  <c r="I120" i="22"/>
  <c r="B119" i="24"/>
  <c r="F119" i="24"/>
  <c r="H122" i="6"/>
  <c r="I122" i="6"/>
  <c r="B120" i="23"/>
  <c r="F120" i="23"/>
  <c r="H117" i="27"/>
  <c r="I117" i="27"/>
  <c r="B117" i="28"/>
  <c r="F117" i="28"/>
  <c r="I113" i="43"/>
  <c r="H113" i="43"/>
  <c r="B121" i="25"/>
  <c r="F121" i="25"/>
  <c r="B125" i="10"/>
  <c r="F125" i="10"/>
  <c r="B113" i="40"/>
  <c r="F113" i="40"/>
  <c r="B114" i="37"/>
  <c r="F114" i="37"/>
  <c r="B117" i="29"/>
  <c r="F117" i="29"/>
  <c r="H113" i="39"/>
  <c r="I113" i="39"/>
  <c r="B122" i="4"/>
  <c r="F122" i="4"/>
  <c r="I118" i="24"/>
  <c r="H118" i="24"/>
  <c r="H119" i="23"/>
  <c r="I119" i="23"/>
  <c r="B122" i="3"/>
  <c r="F122" i="3"/>
  <c r="B124" i="11"/>
  <c r="F124" i="11"/>
  <c r="I116" i="28"/>
  <c r="H116" i="28"/>
  <c r="H120" i="25"/>
  <c r="I120" i="25"/>
  <c r="I124" i="10"/>
  <c r="H124" i="10"/>
  <c r="G115" i="46" l="1"/>
  <c r="E116" i="46"/>
  <c r="D116" i="46"/>
  <c r="J114" i="46"/>
  <c r="I114" i="47"/>
  <c r="H114" i="47"/>
  <c r="F115" i="47"/>
  <c r="B115" i="47"/>
  <c r="D117" i="44"/>
  <c r="G115" i="42"/>
  <c r="H115" i="42" s="1"/>
  <c r="E116" i="42"/>
  <c r="F116" i="42" s="1"/>
  <c r="I115" i="44"/>
  <c r="H115" i="44"/>
  <c r="B115" i="45"/>
  <c r="F115" i="45"/>
  <c r="I114" i="45"/>
  <c r="H114" i="45"/>
  <c r="H116" i="44"/>
  <c r="I116" i="44"/>
  <c r="E117" i="44"/>
  <c r="F117" i="44" s="1"/>
  <c r="B117" i="44"/>
  <c r="D116" i="41"/>
  <c r="B116" i="41" s="1"/>
  <c r="G115" i="41"/>
  <c r="E116" i="41"/>
  <c r="J114" i="41"/>
  <c r="H115" i="38"/>
  <c r="I115" i="38"/>
  <c r="E116" i="38"/>
  <c r="F116" i="38" s="1"/>
  <c r="B116" i="38"/>
  <c r="J123" i="9"/>
  <c r="J124" i="10"/>
  <c r="J116" i="28"/>
  <c r="J118" i="24"/>
  <c r="J113" i="43"/>
  <c r="G122" i="3"/>
  <c r="D123" i="3"/>
  <c r="E123" i="3"/>
  <c r="J113" i="39"/>
  <c r="G114" i="37"/>
  <c r="D115" i="37"/>
  <c r="E115" i="37"/>
  <c r="G125" i="10"/>
  <c r="D126" i="10"/>
  <c r="E126" i="10"/>
  <c r="J117" i="27"/>
  <c r="J122" i="6"/>
  <c r="J120" i="22"/>
  <c r="J115" i="30"/>
  <c r="J122" i="8"/>
  <c r="G118" i="27"/>
  <c r="D119" i="27"/>
  <c r="E119" i="27"/>
  <c r="J116" i="31"/>
  <c r="J123" i="11"/>
  <c r="G123" i="8"/>
  <c r="D124" i="8"/>
  <c r="E124" i="8"/>
  <c r="J121" i="4"/>
  <c r="J116" i="29"/>
  <c r="G124" i="9"/>
  <c r="D125" i="9"/>
  <c r="E125" i="9"/>
  <c r="G122" i="5"/>
  <c r="D123" i="5"/>
  <c r="E123" i="5"/>
  <c r="J120" i="25"/>
  <c r="G124" i="11"/>
  <c r="D125" i="11"/>
  <c r="E125" i="11"/>
  <c r="J119" i="23"/>
  <c r="G122" i="4"/>
  <c r="D123" i="4"/>
  <c r="E123" i="4"/>
  <c r="G117" i="29"/>
  <c r="D118" i="29"/>
  <c r="E118" i="29"/>
  <c r="G113" i="40"/>
  <c r="D114" i="40"/>
  <c r="E114" i="40"/>
  <c r="G121" i="25"/>
  <c r="D122" i="25"/>
  <c r="E122" i="25"/>
  <c r="G117" i="28"/>
  <c r="D118" i="28"/>
  <c r="E118" i="28"/>
  <c r="G120" i="23"/>
  <c r="D121" i="23"/>
  <c r="E121" i="23"/>
  <c r="G119" i="24"/>
  <c r="D120" i="24"/>
  <c r="E120" i="24"/>
  <c r="G114" i="39"/>
  <c r="D115" i="39"/>
  <c r="E115" i="39"/>
  <c r="G114" i="43"/>
  <c r="D115" i="43"/>
  <c r="E115" i="43"/>
  <c r="J124" i="7"/>
  <c r="G123" i="6"/>
  <c r="D124" i="6"/>
  <c r="E124" i="6"/>
  <c r="G121" i="22"/>
  <c r="D122" i="22"/>
  <c r="E122" i="22"/>
  <c r="J121" i="5"/>
  <c r="J121" i="3"/>
  <c r="G125" i="7"/>
  <c r="D126" i="7"/>
  <c r="E126" i="7"/>
  <c r="G117" i="31"/>
  <c r="D118" i="31"/>
  <c r="E118" i="31"/>
  <c r="J113" i="37"/>
  <c r="J112" i="40"/>
  <c r="G116" i="30"/>
  <c r="D117" i="30"/>
  <c r="E117" i="30"/>
  <c r="G115" i="47" l="1"/>
  <c r="D116" i="47"/>
  <c r="E116" i="47" s="1"/>
  <c r="F116" i="46"/>
  <c r="B116" i="46"/>
  <c r="J114" i="47"/>
  <c r="H115" i="46"/>
  <c r="I115" i="46"/>
  <c r="J115" i="46" s="1"/>
  <c r="I115" i="42"/>
  <c r="J115" i="42" s="1"/>
  <c r="J115" i="44"/>
  <c r="J116" i="44"/>
  <c r="G115" i="45"/>
  <c r="D116" i="45"/>
  <c r="E116" i="45"/>
  <c r="J114" i="45"/>
  <c r="G117" i="44"/>
  <c r="D118" i="44"/>
  <c r="B118" i="44" s="1"/>
  <c r="E118" i="44"/>
  <c r="F116" i="41"/>
  <c r="G116" i="41" s="1"/>
  <c r="D117" i="38"/>
  <c r="G116" i="38"/>
  <c r="J115" i="38"/>
  <c r="I115" i="41"/>
  <c r="H115" i="41"/>
  <c r="G116" i="42"/>
  <c r="D117" i="42"/>
  <c r="B126" i="7"/>
  <c r="F126" i="7"/>
  <c r="B115" i="43"/>
  <c r="F115" i="43"/>
  <c r="H116" i="30"/>
  <c r="I116" i="30"/>
  <c r="B122" i="22"/>
  <c r="F122" i="22"/>
  <c r="H114" i="43"/>
  <c r="I114" i="43"/>
  <c r="H117" i="31"/>
  <c r="I117" i="31"/>
  <c r="I121" i="22"/>
  <c r="H121" i="22"/>
  <c r="B120" i="24"/>
  <c r="F120" i="24"/>
  <c r="H120" i="23"/>
  <c r="I120" i="23"/>
  <c r="B114" i="40"/>
  <c r="F114" i="40"/>
  <c r="H117" i="29"/>
  <c r="I117" i="29"/>
  <c r="I118" i="27"/>
  <c r="H118" i="27"/>
  <c r="I125" i="10"/>
  <c r="H125" i="10"/>
  <c r="B115" i="39"/>
  <c r="F115" i="39"/>
  <c r="H119" i="24"/>
  <c r="I119" i="24"/>
  <c r="B122" i="25"/>
  <c r="F122" i="25"/>
  <c r="H113" i="40"/>
  <c r="I113" i="40"/>
  <c r="B125" i="9"/>
  <c r="F125" i="9"/>
  <c r="B117" i="30"/>
  <c r="F117" i="30"/>
  <c r="B124" i="6"/>
  <c r="F124" i="6"/>
  <c r="H114" i="39"/>
  <c r="I114" i="39"/>
  <c r="B118" i="28"/>
  <c r="F118" i="28"/>
  <c r="I121" i="25"/>
  <c r="H121" i="25"/>
  <c r="B123" i="4"/>
  <c r="F123" i="4"/>
  <c r="B125" i="11"/>
  <c r="F125" i="11"/>
  <c r="B123" i="5"/>
  <c r="F123" i="5"/>
  <c r="H124" i="9"/>
  <c r="I124" i="9"/>
  <c r="B124" i="8"/>
  <c r="F124" i="8"/>
  <c r="B115" i="37"/>
  <c r="F115" i="37"/>
  <c r="B123" i="3"/>
  <c r="F123" i="3"/>
  <c r="B118" i="31"/>
  <c r="F118" i="31"/>
  <c r="I125" i="7"/>
  <c r="H125" i="7"/>
  <c r="I123" i="6"/>
  <c r="H123" i="6"/>
  <c r="B121" i="23"/>
  <c r="F121" i="23"/>
  <c r="H117" i="28"/>
  <c r="I117" i="28"/>
  <c r="B118" i="29"/>
  <c r="F118" i="29"/>
  <c r="H122" i="4"/>
  <c r="I122" i="4"/>
  <c r="H124" i="11"/>
  <c r="I124" i="11"/>
  <c r="H122" i="5"/>
  <c r="I122" i="5"/>
  <c r="H123" i="8"/>
  <c r="I123" i="8"/>
  <c r="B119" i="27"/>
  <c r="F119" i="27"/>
  <c r="B126" i="10"/>
  <c r="F126" i="10"/>
  <c r="H114" i="37"/>
  <c r="I114" i="37"/>
  <c r="H122" i="3"/>
  <c r="I122" i="3"/>
  <c r="E117" i="46" l="1"/>
  <c r="G116" i="46"/>
  <c r="D117" i="46"/>
  <c r="B117" i="46" s="1"/>
  <c r="B116" i="47"/>
  <c r="F116" i="47"/>
  <c r="H115" i="47"/>
  <c r="I115" i="47"/>
  <c r="J115" i="47" s="1"/>
  <c r="B116" i="45"/>
  <c r="F116" i="45"/>
  <c r="I115" i="45"/>
  <c r="H115" i="45"/>
  <c r="F118" i="44"/>
  <c r="G118" i="44" s="1"/>
  <c r="D117" i="41"/>
  <c r="B117" i="41" s="1"/>
  <c r="I117" i="44"/>
  <c r="H117" i="44"/>
  <c r="H116" i="42"/>
  <c r="I116" i="42"/>
  <c r="I116" i="41"/>
  <c r="H116" i="41"/>
  <c r="J115" i="41"/>
  <c r="H116" i="38"/>
  <c r="I116" i="38"/>
  <c r="E117" i="42"/>
  <c r="F117" i="42" s="1"/>
  <c r="B117" i="42"/>
  <c r="E117" i="41"/>
  <c r="E117" i="38"/>
  <c r="F117" i="38" s="1"/>
  <c r="B117" i="38"/>
  <c r="J121" i="22"/>
  <c r="J118" i="27"/>
  <c r="J125" i="7"/>
  <c r="J114" i="37"/>
  <c r="J122" i="5"/>
  <c r="J122" i="4"/>
  <c r="J117" i="28"/>
  <c r="J124" i="9"/>
  <c r="J114" i="39"/>
  <c r="J113" i="40"/>
  <c r="J119" i="24"/>
  <c r="J117" i="29"/>
  <c r="J120" i="23"/>
  <c r="J122" i="3"/>
  <c r="G126" i="10"/>
  <c r="D127" i="10"/>
  <c r="E127" i="10"/>
  <c r="J123" i="8"/>
  <c r="J124" i="11"/>
  <c r="G118" i="29"/>
  <c r="D119" i="29"/>
  <c r="E119" i="29"/>
  <c r="G121" i="23"/>
  <c r="D122" i="23"/>
  <c r="E122" i="23"/>
  <c r="G123" i="3"/>
  <c r="D124" i="3"/>
  <c r="E124" i="3"/>
  <c r="G124" i="8"/>
  <c r="D125" i="8"/>
  <c r="E125" i="8"/>
  <c r="G123" i="5"/>
  <c r="D124" i="5"/>
  <c r="E124" i="5"/>
  <c r="G123" i="4"/>
  <c r="D124" i="4"/>
  <c r="E124" i="4"/>
  <c r="G118" i="28"/>
  <c r="D119" i="28"/>
  <c r="E119" i="28"/>
  <c r="G124" i="6"/>
  <c r="D125" i="6"/>
  <c r="E125" i="6"/>
  <c r="G125" i="9"/>
  <c r="D126" i="9"/>
  <c r="E126" i="9"/>
  <c r="G122" i="25"/>
  <c r="D123" i="25"/>
  <c r="E123" i="25"/>
  <c r="G115" i="39"/>
  <c r="D116" i="39"/>
  <c r="E116" i="39"/>
  <c r="G114" i="40"/>
  <c r="D115" i="40"/>
  <c r="E115" i="40"/>
  <c r="G120" i="24"/>
  <c r="D121" i="24"/>
  <c r="E121" i="24"/>
  <c r="J117" i="31"/>
  <c r="G122" i="22"/>
  <c r="D123" i="22"/>
  <c r="E123" i="22"/>
  <c r="G115" i="43"/>
  <c r="D116" i="43"/>
  <c r="E116" i="43"/>
  <c r="G119" i="27"/>
  <c r="D120" i="27"/>
  <c r="E120" i="27"/>
  <c r="G118" i="31"/>
  <c r="D119" i="31"/>
  <c r="E119" i="31"/>
  <c r="G115" i="37"/>
  <c r="D116" i="37"/>
  <c r="E116" i="37"/>
  <c r="G125" i="11"/>
  <c r="D126" i="11"/>
  <c r="E126" i="11"/>
  <c r="G117" i="30"/>
  <c r="D118" i="30"/>
  <c r="E118" i="30"/>
  <c r="J114" i="43"/>
  <c r="J116" i="30"/>
  <c r="G126" i="7"/>
  <c r="D127" i="7"/>
  <c r="E127" i="7"/>
  <c r="J123" i="6"/>
  <c r="J121" i="25"/>
  <c r="J125" i="10"/>
  <c r="H116" i="46" l="1"/>
  <c r="I116" i="46"/>
  <c r="J116" i="46" s="1"/>
  <c r="D117" i="47"/>
  <c r="E117" i="47" s="1"/>
  <c r="G116" i="47"/>
  <c r="F117" i="46"/>
  <c r="G116" i="45"/>
  <c r="E117" i="45"/>
  <c r="D117" i="45"/>
  <c r="J115" i="45"/>
  <c r="D119" i="44"/>
  <c r="B119" i="44" s="1"/>
  <c r="J116" i="42"/>
  <c r="F117" i="41"/>
  <c r="D118" i="41" s="1"/>
  <c r="B118" i="41" s="1"/>
  <c r="J116" i="38"/>
  <c r="J117" i="44"/>
  <c r="E119" i="44"/>
  <c r="H118" i="44"/>
  <c r="I118" i="44"/>
  <c r="G117" i="42"/>
  <c r="D118" i="42"/>
  <c r="D118" i="38"/>
  <c r="B118" i="38" s="1"/>
  <c r="G117" i="38"/>
  <c r="E118" i="38"/>
  <c r="J116" i="41"/>
  <c r="B116" i="37"/>
  <c r="F116" i="37"/>
  <c r="H118" i="31"/>
  <c r="I118" i="31"/>
  <c r="B123" i="22"/>
  <c r="F123" i="22"/>
  <c r="B121" i="24"/>
  <c r="F121" i="24"/>
  <c r="H114" i="40"/>
  <c r="I114" i="40"/>
  <c r="B126" i="9"/>
  <c r="F126" i="9"/>
  <c r="H124" i="6"/>
  <c r="I124" i="6"/>
  <c r="B124" i="5"/>
  <c r="F124" i="5"/>
  <c r="I124" i="8"/>
  <c r="H124" i="8"/>
  <c r="B119" i="29"/>
  <c r="F119" i="29"/>
  <c r="B127" i="7"/>
  <c r="F127" i="7"/>
  <c r="B126" i="11"/>
  <c r="F126" i="11"/>
  <c r="I115" i="37"/>
  <c r="H115" i="37"/>
  <c r="B116" i="43"/>
  <c r="F116" i="43"/>
  <c r="I122" i="22"/>
  <c r="H122" i="22"/>
  <c r="H120" i="24"/>
  <c r="I120" i="24"/>
  <c r="B123" i="25"/>
  <c r="F123" i="25"/>
  <c r="H125" i="9"/>
  <c r="I125" i="9"/>
  <c r="B124" i="4"/>
  <c r="F124" i="4"/>
  <c r="H123" i="5"/>
  <c r="I123" i="5"/>
  <c r="B122" i="23"/>
  <c r="F122" i="23"/>
  <c r="H118" i="29"/>
  <c r="I118" i="29"/>
  <c r="B127" i="10"/>
  <c r="F127" i="10"/>
  <c r="B118" i="30"/>
  <c r="F118" i="30"/>
  <c r="H125" i="11"/>
  <c r="I125" i="11"/>
  <c r="B120" i="27"/>
  <c r="F120" i="27"/>
  <c r="H115" i="43"/>
  <c r="I115" i="43"/>
  <c r="B116" i="39"/>
  <c r="F116" i="39"/>
  <c r="H122" i="25"/>
  <c r="I122" i="25"/>
  <c r="B119" i="28"/>
  <c r="F119" i="28"/>
  <c r="I123" i="4"/>
  <c r="H123" i="4"/>
  <c r="B124" i="3"/>
  <c r="F124" i="3"/>
  <c r="I121" i="23"/>
  <c r="H121" i="23"/>
  <c r="H126" i="10"/>
  <c r="I126" i="10"/>
  <c r="I126" i="7"/>
  <c r="H126" i="7"/>
  <c r="H117" i="30"/>
  <c r="I117" i="30"/>
  <c r="B119" i="31"/>
  <c r="F119" i="31"/>
  <c r="I119" i="27"/>
  <c r="H119" i="27"/>
  <c r="B115" i="40"/>
  <c r="F115" i="40"/>
  <c r="H115" i="39"/>
  <c r="I115" i="39"/>
  <c r="B125" i="6"/>
  <c r="F125" i="6"/>
  <c r="H118" i="28"/>
  <c r="I118" i="28"/>
  <c r="B125" i="8"/>
  <c r="F125" i="8"/>
  <c r="H123" i="3"/>
  <c r="I123" i="3"/>
  <c r="H116" i="47" l="1"/>
  <c r="I116" i="47"/>
  <c r="B117" i="47"/>
  <c r="F117" i="47"/>
  <c r="E118" i="46"/>
  <c r="G117" i="46"/>
  <c r="D118" i="46"/>
  <c r="B117" i="45"/>
  <c r="F117" i="45"/>
  <c r="H116" i="45"/>
  <c r="I116" i="45"/>
  <c r="G117" i="41"/>
  <c r="H117" i="41" s="1"/>
  <c r="F119" i="44"/>
  <c r="D120" i="44" s="1"/>
  <c r="B120" i="44" s="1"/>
  <c r="E118" i="41"/>
  <c r="F118" i="41" s="1"/>
  <c r="J118" i="44"/>
  <c r="F118" i="38"/>
  <c r="E119" i="38" s="1"/>
  <c r="H117" i="38"/>
  <c r="I117" i="38"/>
  <c r="E118" i="42"/>
  <c r="F118" i="42" s="1"/>
  <c r="B118" i="42"/>
  <c r="H117" i="42"/>
  <c r="I117" i="42"/>
  <c r="J118" i="31"/>
  <c r="J124" i="6"/>
  <c r="J119" i="27"/>
  <c r="J126" i="7"/>
  <c r="J121" i="23"/>
  <c r="J123" i="4"/>
  <c r="J122" i="22"/>
  <c r="J115" i="37"/>
  <c r="J123" i="3"/>
  <c r="J118" i="28"/>
  <c r="J115" i="39"/>
  <c r="J117" i="30"/>
  <c r="J126" i="10"/>
  <c r="G124" i="3"/>
  <c r="D125" i="3"/>
  <c r="E125" i="3"/>
  <c r="G119" i="28"/>
  <c r="D120" i="28"/>
  <c r="E120" i="28"/>
  <c r="G116" i="39"/>
  <c r="D117" i="39"/>
  <c r="E117" i="39"/>
  <c r="G120" i="27"/>
  <c r="D121" i="27"/>
  <c r="E121" i="27"/>
  <c r="G118" i="30"/>
  <c r="D119" i="30"/>
  <c r="E119" i="30"/>
  <c r="J118" i="29"/>
  <c r="J123" i="5"/>
  <c r="J125" i="9"/>
  <c r="J120" i="24"/>
  <c r="G116" i="43"/>
  <c r="D117" i="43"/>
  <c r="E117" i="43"/>
  <c r="G126" i="11"/>
  <c r="D127" i="11"/>
  <c r="E127" i="11"/>
  <c r="G119" i="29"/>
  <c r="D120" i="29"/>
  <c r="E120" i="29"/>
  <c r="G124" i="5"/>
  <c r="D125" i="5"/>
  <c r="E125" i="5"/>
  <c r="G126" i="9"/>
  <c r="D127" i="9"/>
  <c r="E127" i="9"/>
  <c r="G121" i="24"/>
  <c r="D122" i="24"/>
  <c r="E122" i="24"/>
  <c r="G125" i="8"/>
  <c r="D126" i="8"/>
  <c r="E126" i="8" s="1"/>
  <c r="G125" i="6"/>
  <c r="D126" i="6"/>
  <c r="E126" i="6"/>
  <c r="G115" i="40"/>
  <c r="D116" i="40"/>
  <c r="E116" i="40"/>
  <c r="G119" i="31"/>
  <c r="D120" i="31"/>
  <c r="E120" i="31"/>
  <c r="J122" i="25"/>
  <c r="J115" i="43"/>
  <c r="J125" i="11"/>
  <c r="G127" i="10"/>
  <c r="D128" i="10"/>
  <c r="E128" i="10"/>
  <c r="G122" i="23"/>
  <c r="D123" i="23"/>
  <c r="E123" i="23"/>
  <c r="G124" i="4"/>
  <c r="D125" i="4"/>
  <c r="E125" i="4"/>
  <c r="G123" i="25"/>
  <c r="D124" i="25"/>
  <c r="E124" i="25"/>
  <c r="G127" i="7"/>
  <c r="D128" i="7"/>
  <c r="E128" i="7"/>
  <c r="J114" i="40"/>
  <c r="G123" i="22"/>
  <c r="D124" i="22"/>
  <c r="E124" i="22"/>
  <c r="G116" i="37"/>
  <c r="D117" i="37"/>
  <c r="E117" i="37"/>
  <c r="J124" i="8"/>
  <c r="J116" i="47" l="1"/>
  <c r="D118" i="47"/>
  <c r="G117" i="47"/>
  <c r="E118" i="47"/>
  <c r="F118" i="46"/>
  <c r="B118" i="46"/>
  <c r="I117" i="46"/>
  <c r="H117" i="46"/>
  <c r="I117" i="41"/>
  <c r="J117" i="41" s="1"/>
  <c r="J116" i="45"/>
  <c r="E118" i="45"/>
  <c r="D118" i="45"/>
  <c r="G117" i="45"/>
  <c r="E120" i="44"/>
  <c r="F120" i="44" s="1"/>
  <c r="D121" i="44" s="1"/>
  <c r="B121" i="44" s="1"/>
  <c r="D119" i="38"/>
  <c r="B119" i="38" s="1"/>
  <c r="G119" i="44"/>
  <c r="H119" i="44" s="1"/>
  <c r="G118" i="38"/>
  <c r="H118" i="38" s="1"/>
  <c r="G118" i="42"/>
  <c r="D119" i="42"/>
  <c r="B119" i="42" s="1"/>
  <c r="E119" i="42"/>
  <c r="D119" i="41"/>
  <c r="G118" i="41"/>
  <c r="J117" i="42"/>
  <c r="J117" i="38"/>
  <c r="H116" i="37"/>
  <c r="I116" i="37"/>
  <c r="B124" i="25"/>
  <c r="F124" i="25"/>
  <c r="H124" i="4"/>
  <c r="I124" i="4"/>
  <c r="H119" i="31"/>
  <c r="I119" i="31"/>
  <c r="B126" i="8"/>
  <c r="F126" i="8"/>
  <c r="H121" i="24"/>
  <c r="I121" i="24"/>
  <c r="B120" i="29"/>
  <c r="F120" i="29"/>
  <c r="H126" i="11"/>
  <c r="I126" i="11"/>
  <c r="B121" i="27"/>
  <c r="F121" i="27"/>
  <c r="H116" i="39"/>
  <c r="I116" i="39"/>
  <c r="B128" i="7"/>
  <c r="F128" i="7"/>
  <c r="B128" i="10"/>
  <c r="F128" i="10"/>
  <c r="B126" i="6"/>
  <c r="F126" i="6"/>
  <c r="H125" i="8"/>
  <c r="I125" i="8"/>
  <c r="B125" i="5"/>
  <c r="F125" i="5"/>
  <c r="H119" i="29"/>
  <c r="I119" i="29"/>
  <c r="B119" i="30"/>
  <c r="F119" i="30"/>
  <c r="H120" i="27"/>
  <c r="I120" i="27"/>
  <c r="B125" i="3"/>
  <c r="F125" i="3"/>
  <c r="B124" i="22"/>
  <c r="F124" i="22"/>
  <c r="H123" i="25"/>
  <c r="I123" i="25"/>
  <c r="B117" i="37"/>
  <c r="F117" i="37"/>
  <c r="H123" i="22"/>
  <c r="I123" i="22"/>
  <c r="H127" i="7"/>
  <c r="I127" i="7"/>
  <c r="B123" i="23"/>
  <c r="F123" i="23"/>
  <c r="H127" i="10"/>
  <c r="I127" i="10"/>
  <c r="B116" i="40"/>
  <c r="F116" i="40"/>
  <c r="I125" i="6"/>
  <c r="H125" i="6"/>
  <c r="B127" i="9"/>
  <c r="F127" i="9"/>
  <c r="I124" i="5"/>
  <c r="H124" i="5"/>
  <c r="B117" i="43"/>
  <c r="F117" i="43"/>
  <c r="I118" i="30"/>
  <c r="H118" i="30"/>
  <c r="B120" i="28"/>
  <c r="F120" i="28"/>
  <c r="H124" i="3"/>
  <c r="I124" i="3"/>
  <c r="B125" i="4"/>
  <c r="F125" i="4"/>
  <c r="H122" i="23"/>
  <c r="I122" i="23"/>
  <c r="B120" i="31"/>
  <c r="F120" i="31"/>
  <c r="I115" i="40"/>
  <c r="H115" i="40"/>
  <c r="B122" i="24"/>
  <c r="F122" i="24"/>
  <c r="H126" i="9"/>
  <c r="I126" i="9"/>
  <c r="B127" i="11"/>
  <c r="F127" i="11"/>
  <c r="H116" i="43"/>
  <c r="I116" i="43"/>
  <c r="B117" i="39"/>
  <c r="F117" i="39"/>
  <c r="H119" i="28"/>
  <c r="I119" i="28"/>
  <c r="G118" i="46" l="1"/>
  <c r="D119" i="46"/>
  <c r="E119" i="46"/>
  <c r="J117" i="46"/>
  <c r="I117" i="47"/>
  <c r="H117" i="47"/>
  <c r="F118" i="47"/>
  <c r="B118" i="47"/>
  <c r="F119" i="38"/>
  <c r="G119" i="38" s="1"/>
  <c r="I117" i="45"/>
  <c r="H117" i="45"/>
  <c r="F118" i="45"/>
  <c r="B118" i="45"/>
  <c r="I119" i="44"/>
  <c r="J119" i="44" s="1"/>
  <c r="I118" i="38"/>
  <c r="J118" i="38" s="1"/>
  <c r="D120" i="38"/>
  <c r="B120" i="38" s="1"/>
  <c r="E121" i="44"/>
  <c r="F121" i="44" s="1"/>
  <c r="G121" i="44" s="1"/>
  <c r="G120" i="44"/>
  <c r="I120" i="44" s="1"/>
  <c r="F119" i="42"/>
  <c r="G119" i="42" s="1"/>
  <c r="E120" i="38"/>
  <c r="E119" i="41"/>
  <c r="F119" i="41" s="1"/>
  <c r="B119" i="41"/>
  <c r="H119" i="38"/>
  <c r="I119" i="38"/>
  <c r="H118" i="41"/>
  <c r="I118" i="41"/>
  <c r="H118" i="42"/>
  <c r="I118" i="42"/>
  <c r="J119" i="28"/>
  <c r="J120" i="27"/>
  <c r="J115" i="40"/>
  <c r="J118" i="30"/>
  <c r="J124" i="5"/>
  <c r="J125" i="6"/>
  <c r="J124" i="4"/>
  <c r="J116" i="37"/>
  <c r="J116" i="43"/>
  <c r="J126" i="9"/>
  <c r="J122" i="23"/>
  <c r="J124" i="3"/>
  <c r="J127" i="10"/>
  <c r="J127" i="7"/>
  <c r="G117" i="37"/>
  <c r="D118" i="37"/>
  <c r="E118" i="37"/>
  <c r="G124" i="22"/>
  <c r="D125" i="22"/>
  <c r="E125" i="22" s="1"/>
  <c r="J119" i="29"/>
  <c r="J125" i="8"/>
  <c r="G128" i="10"/>
  <c r="D129" i="10"/>
  <c r="E129" i="10" s="1"/>
  <c r="J116" i="39"/>
  <c r="J126" i="11"/>
  <c r="J121" i="24"/>
  <c r="J119" i="31"/>
  <c r="G124" i="25"/>
  <c r="D125" i="25"/>
  <c r="E125" i="25"/>
  <c r="G117" i="39"/>
  <c r="D118" i="39"/>
  <c r="E118" i="39"/>
  <c r="D128" i="11"/>
  <c r="E128" i="11" s="1"/>
  <c r="G127" i="11"/>
  <c r="G122" i="24"/>
  <c r="D123" i="24"/>
  <c r="E123" i="24"/>
  <c r="G120" i="31"/>
  <c r="D121" i="31"/>
  <c r="E121" i="31"/>
  <c r="G125" i="4"/>
  <c r="D126" i="4"/>
  <c r="E126" i="4"/>
  <c r="G120" i="28"/>
  <c r="D121" i="28"/>
  <c r="E121" i="28"/>
  <c r="G117" i="43"/>
  <c r="D118" i="43"/>
  <c r="E118" i="43"/>
  <c r="G127" i="9"/>
  <c r="D128" i="9"/>
  <c r="E128" i="9" s="1"/>
  <c r="G116" i="40"/>
  <c r="D117" i="40"/>
  <c r="E117" i="40"/>
  <c r="G123" i="23"/>
  <c r="D124" i="23"/>
  <c r="E124" i="23"/>
  <c r="J123" i="22"/>
  <c r="J123" i="25"/>
  <c r="G125" i="3"/>
  <c r="D126" i="3"/>
  <c r="E126" i="3"/>
  <c r="G119" i="30"/>
  <c r="D120" i="30"/>
  <c r="E120" i="30"/>
  <c r="G125" i="5"/>
  <c r="D126" i="5"/>
  <c r="E126" i="5" s="1"/>
  <c r="G126" i="6"/>
  <c r="D127" i="6"/>
  <c r="E127" i="6" s="1"/>
  <c r="G128" i="7"/>
  <c r="D129" i="7"/>
  <c r="E129" i="7" s="1"/>
  <c r="G121" i="27"/>
  <c r="D122" i="27"/>
  <c r="E122" i="27"/>
  <c r="G120" i="29"/>
  <c r="D121" i="29"/>
  <c r="E121" i="29"/>
  <c r="G126" i="8"/>
  <c r="D127" i="8"/>
  <c r="E127" i="8" s="1"/>
  <c r="D119" i="47" l="1"/>
  <c r="G118" i="47"/>
  <c r="E119" i="47"/>
  <c r="F119" i="46"/>
  <c r="B119" i="46"/>
  <c r="J117" i="47"/>
  <c r="H118" i="46"/>
  <c r="I118" i="46"/>
  <c r="J118" i="46" s="1"/>
  <c r="G118" i="45"/>
  <c r="D119" i="45"/>
  <c r="B119" i="45" s="1"/>
  <c r="E119" i="45"/>
  <c r="J117" i="45"/>
  <c r="F120" i="38"/>
  <c r="E121" i="38" s="1"/>
  <c r="J118" i="41"/>
  <c r="J119" i="38"/>
  <c r="D122" i="44"/>
  <c r="B122" i="44" s="1"/>
  <c r="H120" i="44"/>
  <c r="J120" i="44" s="1"/>
  <c r="D120" i="42"/>
  <c r="B120" i="42" s="1"/>
  <c r="H121" i="44"/>
  <c r="I121" i="44"/>
  <c r="J118" i="42"/>
  <c r="D120" i="41"/>
  <c r="G119" i="41"/>
  <c r="H119" i="42"/>
  <c r="I119" i="42"/>
  <c r="E120" i="42"/>
  <c r="B127" i="8"/>
  <c r="F127" i="8"/>
  <c r="H126" i="8"/>
  <c r="I126" i="8"/>
  <c r="B129" i="7"/>
  <c r="F129" i="7"/>
  <c r="H126" i="6"/>
  <c r="I126" i="6"/>
  <c r="B126" i="3"/>
  <c r="F126" i="3"/>
  <c r="B117" i="40"/>
  <c r="F117" i="40"/>
  <c r="H127" i="9"/>
  <c r="I127" i="9"/>
  <c r="B126" i="4"/>
  <c r="F126" i="4"/>
  <c r="H120" i="31"/>
  <c r="I120" i="31"/>
  <c r="B118" i="39"/>
  <c r="F118" i="39"/>
  <c r="H124" i="25"/>
  <c r="I124" i="25"/>
  <c r="I124" i="22"/>
  <c r="H124" i="22"/>
  <c r="B121" i="29"/>
  <c r="F121" i="29"/>
  <c r="B122" i="27"/>
  <c r="F122" i="27"/>
  <c r="H128" i="7"/>
  <c r="I128" i="7"/>
  <c r="B120" i="30"/>
  <c r="F120" i="30"/>
  <c r="H125" i="3"/>
  <c r="I125" i="3"/>
  <c r="B124" i="23"/>
  <c r="F124" i="23"/>
  <c r="H116" i="40"/>
  <c r="I116" i="40"/>
  <c r="B121" i="28"/>
  <c r="F121" i="28"/>
  <c r="I125" i="4"/>
  <c r="H125" i="4"/>
  <c r="H127" i="11"/>
  <c r="I127" i="11"/>
  <c r="H117" i="39"/>
  <c r="I117" i="39"/>
  <c r="I121" i="27"/>
  <c r="H121" i="27"/>
  <c r="B126" i="5"/>
  <c r="F126" i="5"/>
  <c r="H119" i="30"/>
  <c r="I119" i="30"/>
  <c r="H123" i="23"/>
  <c r="I123" i="23"/>
  <c r="B118" i="43"/>
  <c r="F118" i="43"/>
  <c r="H120" i="28"/>
  <c r="I120" i="28"/>
  <c r="B123" i="24"/>
  <c r="F123" i="24"/>
  <c r="B128" i="11"/>
  <c r="F128" i="11"/>
  <c r="B129" i="10"/>
  <c r="F129" i="10"/>
  <c r="B118" i="37"/>
  <c r="F118" i="37"/>
  <c r="H120" i="29"/>
  <c r="I120" i="29"/>
  <c r="B127" i="6"/>
  <c r="F127" i="6"/>
  <c r="H125" i="5"/>
  <c r="I125" i="5"/>
  <c r="B128" i="9"/>
  <c r="F128" i="9"/>
  <c r="H117" i="43"/>
  <c r="I117" i="43"/>
  <c r="B121" i="31"/>
  <c r="F121" i="31"/>
  <c r="H122" i="24"/>
  <c r="I122" i="24"/>
  <c r="B125" i="25"/>
  <c r="F125" i="25"/>
  <c r="H128" i="10"/>
  <c r="I128" i="10"/>
  <c r="B125" i="22"/>
  <c r="F125" i="22"/>
  <c r="H117" i="37"/>
  <c r="I117" i="37"/>
  <c r="G119" i="46" l="1"/>
  <c r="E120" i="46"/>
  <c r="D120" i="46"/>
  <c r="H118" i="47"/>
  <c r="I118" i="47"/>
  <c r="B119" i="47"/>
  <c r="F119" i="47"/>
  <c r="D121" i="38"/>
  <c r="B121" i="38" s="1"/>
  <c r="G120" i="38"/>
  <c r="F119" i="45"/>
  <c r="G119" i="45" s="1"/>
  <c r="I118" i="45"/>
  <c r="H118" i="45"/>
  <c r="E122" i="44"/>
  <c r="F122" i="44" s="1"/>
  <c r="D123" i="44" s="1"/>
  <c r="B123" i="44" s="1"/>
  <c r="F120" i="42"/>
  <c r="G120" i="42" s="1"/>
  <c r="J121" i="44"/>
  <c r="J119" i="42"/>
  <c r="H120" i="38"/>
  <c r="I120" i="38"/>
  <c r="I119" i="41"/>
  <c r="H119" i="41"/>
  <c r="E120" i="41"/>
  <c r="F120" i="41" s="1"/>
  <c r="B120" i="41"/>
  <c r="J125" i="4"/>
  <c r="J121" i="27"/>
  <c r="J124" i="22"/>
  <c r="J117" i="37"/>
  <c r="J128" i="10"/>
  <c r="J122" i="24"/>
  <c r="J117" i="43"/>
  <c r="J125" i="5"/>
  <c r="J120" i="29"/>
  <c r="G129" i="10"/>
  <c r="D130" i="10"/>
  <c r="E130" i="10" s="1"/>
  <c r="G123" i="24"/>
  <c r="D124" i="24"/>
  <c r="E124" i="24" s="1"/>
  <c r="G118" i="43"/>
  <c r="D119" i="43"/>
  <c r="E119" i="43"/>
  <c r="J119" i="30"/>
  <c r="J127" i="11"/>
  <c r="G121" i="28"/>
  <c r="D122" i="28"/>
  <c r="E122" i="28"/>
  <c r="G124" i="23"/>
  <c r="D125" i="23"/>
  <c r="E125" i="23" s="1"/>
  <c r="G120" i="30"/>
  <c r="D121" i="30"/>
  <c r="E121" i="30"/>
  <c r="G122" i="27"/>
  <c r="D123" i="27"/>
  <c r="E123" i="27" s="1"/>
  <c r="G118" i="39"/>
  <c r="D119" i="39"/>
  <c r="E119" i="39"/>
  <c r="G126" i="4"/>
  <c r="D127" i="4"/>
  <c r="E127" i="4" s="1"/>
  <c r="G117" i="40"/>
  <c r="D118" i="40"/>
  <c r="E118" i="40"/>
  <c r="J126" i="6"/>
  <c r="J126" i="8"/>
  <c r="G125" i="22"/>
  <c r="D126" i="22"/>
  <c r="E126" i="22" s="1"/>
  <c r="G125" i="25"/>
  <c r="D126" i="25"/>
  <c r="E126" i="25"/>
  <c r="G121" i="31"/>
  <c r="D122" i="31"/>
  <c r="E122" i="31"/>
  <c r="G128" i="9"/>
  <c r="D129" i="9"/>
  <c r="E129" i="9" s="1"/>
  <c r="G127" i="6"/>
  <c r="D128" i="6"/>
  <c r="E128" i="6"/>
  <c r="G118" i="37"/>
  <c r="D119" i="37"/>
  <c r="E119" i="37"/>
  <c r="G128" i="11"/>
  <c r="D129" i="11"/>
  <c r="E129" i="11" s="1"/>
  <c r="J120" i="28"/>
  <c r="J123" i="23"/>
  <c r="G126" i="5"/>
  <c r="D127" i="5"/>
  <c r="E127" i="5"/>
  <c r="J117" i="39"/>
  <c r="J116" i="40"/>
  <c r="J125" i="3"/>
  <c r="J128" i="7"/>
  <c r="G121" i="29"/>
  <c r="D122" i="29"/>
  <c r="E122" i="29"/>
  <c r="J124" i="25"/>
  <c r="J120" i="31"/>
  <c r="J127" i="9"/>
  <c r="G126" i="3"/>
  <c r="D127" i="3"/>
  <c r="E127" i="3"/>
  <c r="G129" i="7"/>
  <c r="D130" i="7"/>
  <c r="E130" i="7"/>
  <c r="G127" i="8"/>
  <c r="D128" i="8"/>
  <c r="E128" i="8" s="1"/>
  <c r="D120" i="47" l="1"/>
  <c r="G119" i="47"/>
  <c r="E120" i="47"/>
  <c r="B120" i="46"/>
  <c r="F120" i="46"/>
  <c r="F121" i="38"/>
  <c r="J118" i="47"/>
  <c r="H119" i="46"/>
  <c r="I119" i="46"/>
  <c r="D120" i="45"/>
  <c r="B120" i="45" s="1"/>
  <c r="J118" i="45"/>
  <c r="E120" i="45"/>
  <c r="I119" i="45"/>
  <c r="H119" i="45"/>
  <c r="D121" i="42"/>
  <c r="B121" i="42" s="1"/>
  <c r="E123" i="44"/>
  <c r="F123" i="44" s="1"/>
  <c r="D124" i="44" s="1"/>
  <c r="B124" i="44" s="1"/>
  <c r="G122" i="44"/>
  <c r="H122" i="44" s="1"/>
  <c r="J120" i="38"/>
  <c r="D122" i="38"/>
  <c r="G121" i="38"/>
  <c r="D121" i="41"/>
  <c r="B121" i="41" s="1"/>
  <c r="G120" i="41"/>
  <c r="E121" i="42"/>
  <c r="F121" i="42" s="1"/>
  <c r="J119" i="41"/>
  <c r="I120" i="42"/>
  <c r="H120" i="42"/>
  <c r="B128" i="8"/>
  <c r="F128" i="8"/>
  <c r="H129" i="7"/>
  <c r="I129" i="7"/>
  <c r="B122" i="29"/>
  <c r="F122" i="29"/>
  <c r="I126" i="5"/>
  <c r="H126" i="5"/>
  <c r="B129" i="11"/>
  <c r="F129" i="11"/>
  <c r="H118" i="37"/>
  <c r="I118" i="37"/>
  <c r="B122" i="31"/>
  <c r="F122" i="31"/>
  <c r="H125" i="25"/>
  <c r="I125" i="25"/>
  <c r="H117" i="40"/>
  <c r="I117" i="40"/>
  <c r="B123" i="27"/>
  <c r="F123" i="27"/>
  <c r="H120" i="30"/>
  <c r="I120" i="30"/>
  <c r="B130" i="10"/>
  <c r="F130" i="10"/>
  <c r="I127" i="8"/>
  <c r="H127" i="8"/>
  <c r="I121" i="29"/>
  <c r="H121" i="29"/>
  <c r="H128" i="11"/>
  <c r="I128" i="11"/>
  <c r="B129" i="9"/>
  <c r="F129" i="9"/>
  <c r="H121" i="31"/>
  <c r="I121" i="31"/>
  <c r="B119" i="39"/>
  <c r="F119" i="39"/>
  <c r="H122" i="27"/>
  <c r="I122" i="27"/>
  <c r="B122" i="28"/>
  <c r="F122" i="28"/>
  <c r="B124" i="24"/>
  <c r="F124" i="24"/>
  <c r="H129" i="10"/>
  <c r="I129" i="10"/>
  <c r="B127" i="3"/>
  <c r="F127" i="3"/>
  <c r="B128" i="6"/>
  <c r="F128" i="6"/>
  <c r="H128" i="9"/>
  <c r="I128" i="9"/>
  <c r="B126" i="22"/>
  <c r="F126" i="22"/>
  <c r="B127" i="4"/>
  <c r="F127" i="4"/>
  <c r="H118" i="39"/>
  <c r="I118" i="39"/>
  <c r="B125" i="23"/>
  <c r="F125" i="23"/>
  <c r="I121" i="28"/>
  <c r="H121" i="28"/>
  <c r="B119" i="43"/>
  <c r="F119" i="43"/>
  <c r="H123" i="24"/>
  <c r="I123" i="24"/>
  <c r="B130" i="7"/>
  <c r="F130" i="7"/>
  <c r="H126" i="3"/>
  <c r="I126" i="3"/>
  <c r="B127" i="5"/>
  <c r="F127" i="5"/>
  <c r="B119" i="37"/>
  <c r="F119" i="37"/>
  <c r="I127" i="6"/>
  <c r="H127" i="6"/>
  <c r="B126" i="25"/>
  <c r="F126" i="25"/>
  <c r="I125" i="22"/>
  <c r="H125" i="22"/>
  <c r="B118" i="40"/>
  <c r="F118" i="40"/>
  <c r="H126" i="4"/>
  <c r="I126" i="4"/>
  <c r="B121" i="30"/>
  <c r="F121" i="30"/>
  <c r="H124" i="23"/>
  <c r="I124" i="23"/>
  <c r="H118" i="43"/>
  <c r="I118" i="43"/>
  <c r="H119" i="47" l="1"/>
  <c r="I119" i="47"/>
  <c r="J119" i="47" s="1"/>
  <c r="J119" i="46"/>
  <c r="E121" i="46"/>
  <c r="D121" i="46"/>
  <c r="G120" i="46"/>
  <c r="F120" i="47"/>
  <c r="B120" i="47"/>
  <c r="F120" i="45"/>
  <c r="E121" i="45" s="1"/>
  <c r="J119" i="45"/>
  <c r="G123" i="44"/>
  <c r="I123" i="44" s="1"/>
  <c r="I122" i="44"/>
  <c r="J122" i="44" s="1"/>
  <c r="E124" i="44"/>
  <c r="F124" i="44" s="1"/>
  <c r="E121" i="41"/>
  <c r="F121" i="41" s="1"/>
  <c r="D122" i="42"/>
  <c r="B122" i="42" s="1"/>
  <c r="G121" i="42"/>
  <c r="E122" i="42"/>
  <c r="J120" i="42"/>
  <c r="I121" i="38"/>
  <c r="H121" i="38"/>
  <c r="E122" i="38"/>
  <c r="F122" i="38" s="1"/>
  <c r="B122" i="38"/>
  <c r="H120" i="41"/>
  <c r="I120" i="41"/>
  <c r="J125" i="22"/>
  <c r="J125" i="25"/>
  <c r="J118" i="37"/>
  <c r="J129" i="7"/>
  <c r="J127" i="6"/>
  <c r="J127" i="8"/>
  <c r="J121" i="28"/>
  <c r="J121" i="29"/>
  <c r="J124" i="23"/>
  <c r="J128" i="9"/>
  <c r="J122" i="27"/>
  <c r="J121" i="31"/>
  <c r="J118" i="43"/>
  <c r="G121" i="30"/>
  <c r="D122" i="30"/>
  <c r="E122" i="30"/>
  <c r="G118" i="40"/>
  <c r="D119" i="40"/>
  <c r="E119" i="40"/>
  <c r="G126" i="25"/>
  <c r="D127" i="25"/>
  <c r="E127" i="25" s="1"/>
  <c r="G119" i="37"/>
  <c r="D120" i="37"/>
  <c r="E120" i="37"/>
  <c r="J126" i="3"/>
  <c r="J123" i="24"/>
  <c r="J118" i="39"/>
  <c r="G126" i="22"/>
  <c r="D127" i="22"/>
  <c r="E127" i="22" s="1"/>
  <c r="G128" i="6"/>
  <c r="D129" i="6"/>
  <c r="E129" i="6" s="1"/>
  <c r="J129" i="10"/>
  <c r="G122" i="28"/>
  <c r="D123" i="28"/>
  <c r="E123" i="28" s="1"/>
  <c r="G119" i="39"/>
  <c r="D120" i="39"/>
  <c r="E120" i="39"/>
  <c r="G129" i="9"/>
  <c r="D130" i="9"/>
  <c r="E130" i="9"/>
  <c r="G130" i="10"/>
  <c r="D131" i="10"/>
  <c r="E131" i="10" s="1"/>
  <c r="G123" i="27"/>
  <c r="D124" i="27"/>
  <c r="E124" i="27" s="1"/>
  <c r="J126" i="5"/>
  <c r="J126" i="4"/>
  <c r="G127" i="5"/>
  <c r="D128" i="5"/>
  <c r="E128" i="5" s="1"/>
  <c r="G130" i="7"/>
  <c r="D131" i="7"/>
  <c r="E131" i="7" s="1"/>
  <c r="G119" i="43"/>
  <c r="D120" i="43"/>
  <c r="E120" i="43"/>
  <c r="G125" i="23"/>
  <c r="D126" i="23"/>
  <c r="E126" i="23"/>
  <c r="G127" i="4"/>
  <c r="D128" i="4"/>
  <c r="E128" i="4" s="1"/>
  <c r="G127" i="3"/>
  <c r="D128" i="3"/>
  <c r="E128" i="3" s="1"/>
  <c r="G124" i="24"/>
  <c r="D125" i="24"/>
  <c r="E125" i="24"/>
  <c r="J128" i="11"/>
  <c r="J120" i="30"/>
  <c r="J117" i="40"/>
  <c r="G122" i="31"/>
  <c r="D123" i="31"/>
  <c r="E123" i="31" s="1"/>
  <c r="G129" i="11"/>
  <c r="D130" i="11"/>
  <c r="E130" i="11" s="1"/>
  <c r="G122" i="29"/>
  <c r="D123" i="29"/>
  <c r="E123" i="29"/>
  <c r="G128" i="8"/>
  <c r="D129" i="8"/>
  <c r="E129" i="8"/>
  <c r="G120" i="47" l="1"/>
  <c r="D121" i="47"/>
  <c r="E121" i="47"/>
  <c r="I120" i="46"/>
  <c r="J120" i="46" s="1"/>
  <c r="H120" i="46"/>
  <c r="B121" i="46"/>
  <c r="F121" i="46"/>
  <c r="G120" i="45"/>
  <c r="H120" i="45" s="1"/>
  <c r="D121" i="45"/>
  <c r="F121" i="45" s="1"/>
  <c r="H123" i="44"/>
  <c r="J123" i="44" s="1"/>
  <c r="G124" i="44"/>
  <c r="H124" i="44" s="1"/>
  <c r="D125" i="44"/>
  <c r="B125" i="44" s="1"/>
  <c r="E125" i="44"/>
  <c r="J120" i="41"/>
  <c r="F122" i="42"/>
  <c r="G122" i="42" s="1"/>
  <c r="J121" i="38"/>
  <c r="G122" i="38"/>
  <c r="D123" i="38"/>
  <c r="G121" i="41"/>
  <c r="D122" i="41"/>
  <c r="H121" i="42"/>
  <c r="I121" i="42"/>
  <c r="B130" i="11"/>
  <c r="F130" i="11"/>
  <c r="B123" i="29"/>
  <c r="F123" i="29"/>
  <c r="H129" i="11"/>
  <c r="I129" i="11"/>
  <c r="B125" i="24"/>
  <c r="F125" i="24"/>
  <c r="I127" i="3"/>
  <c r="H127" i="3"/>
  <c r="B120" i="43"/>
  <c r="F120" i="43"/>
  <c r="H130" i="7"/>
  <c r="I130" i="7"/>
  <c r="H123" i="27"/>
  <c r="I123" i="27"/>
  <c r="B120" i="39"/>
  <c r="F120" i="39"/>
  <c r="H122" i="28"/>
  <c r="I122" i="28"/>
  <c r="H128" i="6"/>
  <c r="I128" i="6"/>
  <c r="B120" i="37"/>
  <c r="F120" i="37"/>
  <c r="H126" i="25"/>
  <c r="I126" i="25"/>
  <c r="B129" i="8"/>
  <c r="F129" i="8"/>
  <c r="H122" i="29"/>
  <c r="I122" i="29"/>
  <c r="H124" i="24"/>
  <c r="I124" i="24"/>
  <c r="B126" i="23"/>
  <c r="F126" i="23"/>
  <c r="H119" i="43"/>
  <c r="I119" i="43"/>
  <c r="B130" i="9"/>
  <c r="F130" i="9"/>
  <c r="H119" i="39"/>
  <c r="I119" i="39"/>
  <c r="H119" i="37"/>
  <c r="I119" i="37"/>
  <c r="B122" i="30"/>
  <c r="F122" i="30"/>
  <c r="H128" i="8"/>
  <c r="I128" i="8"/>
  <c r="B128" i="4"/>
  <c r="F128" i="4"/>
  <c r="I125" i="23"/>
  <c r="H125" i="23"/>
  <c r="B128" i="5"/>
  <c r="F128" i="5"/>
  <c r="B131" i="10"/>
  <c r="F131" i="10"/>
  <c r="H129" i="9"/>
  <c r="I129" i="9"/>
  <c r="B127" i="22"/>
  <c r="F127" i="22"/>
  <c r="B119" i="40"/>
  <c r="F119" i="40"/>
  <c r="H121" i="30"/>
  <c r="I121" i="30"/>
  <c r="B123" i="31"/>
  <c r="F123" i="31"/>
  <c r="I122" i="31"/>
  <c r="H122" i="31"/>
  <c r="B128" i="3"/>
  <c r="F128" i="3"/>
  <c r="H127" i="4"/>
  <c r="I127" i="4"/>
  <c r="B131" i="7"/>
  <c r="F131" i="7"/>
  <c r="H127" i="5"/>
  <c r="I127" i="5"/>
  <c r="B124" i="27"/>
  <c r="F124" i="27"/>
  <c r="I130" i="10"/>
  <c r="H130" i="10"/>
  <c r="B123" i="28"/>
  <c r="F123" i="28"/>
  <c r="B129" i="6"/>
  <c r="F129" i="6"/>
  <c r="H126" i="22"/>
  <c r="I126" i="22"/>
  <c r="B127" i="25"/>
  <c r="F127" i="25"/>
  <c r="H118" i="40"/>
  <c r="I118" i="40"/>
  <c r="I120" i="45" l="1"/>
  <c r="E122" i="46"/>
  <c r="D122" i="46"/>
  <c r="G121" i="46"/>
  <c r="F121" i="47"/>
  <c r="B121" i="47"/>
  <c r="I120" i="47"/>
  <c r="H120" i="47"/>
  <c r="B121" i="45"/>
  <c r="I124" i="44"/>
  <c r="J124" i="44" s="1"/>
  <c r="J120" i="45"/>
  <c r="F125" i="44"/>
  <c r="G125" i="44" s="1"/>
  <c r="G121" i="45"/>
  <c r="D122" i="45"/>
  <c r="D123" i="42"/>
  <c r="B123" i="42" s="1"/>
  <c r="J121" i="42"/>
  <c r="E122" i="41"/>
  <c r="F122" i="41" s="1"/>
  <c r="B122" i="41"/>
  <c r="I121" i="41"/>
  <c r="H121" i="41"/>
  <c r="E123" i="42"/>
  <c r="E123" i="38"/>
  <c r="F123" i="38" s="1"/>
  <c r="B123" i="38"/>
  <c r="H122" i="42"/>
  <c r="I122" i="42"/>
  <c r="I122" i="38"/>
  <c r="H122" i="38"/>
  <c r="J127" i="5"/>
  <c r="J122" i="29"/>
  <c r="J127" i="4"/>
  <c r="J121" i="30"/>
  <c r="J128" i="8"/>
  <c r="J119" i="37"/>
  <c r="J126" i="25"/>
  <c r="J127" i="3"/>
  <c r="G127" i="25"/>
  <c r="D128" i="25"/>
  <c r="E128" i="25" s="1"/>
  <c r="J118" i="40"/>
  <c r="J126" i="22"/>
  <c r="G123" i="28"/>
  <c r="D124" i="28"/>
  <c r="E124" i="28" s="1"/>
  <c r="G124" i="27"/>
  <c r="D125" i="27"/>
  <c r="E125" i="27" s="1"/>
  <c r="G131" i="7"/>
  <c r="D132" i="7"/>
  <c r="E132" i="7" s="1"/>
  <c r="G128" i="3"/>
  <c r="D129" i="3"/>
  <c r="E129" i="3"/>
  <c r="G123" i="31"/>
  <c r="D124" i="31"/>
  <c r="E124" i="31"/>
  <c r="G119" i="40"/>
  <c r="D120" i="40"/>
  <c r="E120" i="40"/>
  <c r="J129" i="9"/>
  <c r="G128" i="5"/>
  <c r="D129" i="5"/>
  <c r="E129" i="5" s="1"/>
  <c r="G128" i="4"/>
  <c r="D129" i="4"/>
  <c r="E129" i="4" s="1"/>
  <c r="G122" i="30"/>
  <c r="D123" i="30"/>
  <c r="E123" i="30" s="1"/>
  <c r="J119" i="39"/>
  <c r="J119" i="43"/>
  <c r="J124" i="24"/>
  <c r="G129" i="8"/>
  <c r="D130" i="8"/>
  <c r="E130" i="8" s="1"/>
  <c r="G120" i="37"/>
  <c r="D121" i="37"/>
  <c r="E121" i="37" s="1"/>
  <c r="J122" i="28"/>
  <c r="J123" i="27"/>
  <c r="G120" i="43"/>
  <c r="D121" i="43"/>
  <c r="E121" i="43" s="1"/>
  <c r="G125" i="24"/>
  <c r="D126" i="24"/>
  <c r="E126" i="24" s="1"/>
  <c r="G123" i="29"/>
  <c r="D124" i="29"/>
  <c r="E124" i="29" s="1"/>
  <c r="G129" i="6"/>
  <c r="D130" i="6"/>
  <c r="E130" i="6" s="1"/>
  <c r="G127" i="22"/>
  <c r="D128" i="22"/>
  <c r="E128" i="22" s="1"/>
  <c r="G131" i="10"/>
  <c r="D132" i="10"/>
  <c r="E132" i="10" s="1"/>
  <c r="G130" i="9"/>
  <c r="D131" i="9"/>
  <c r="E131" i="9"/>
  <c r="G126" i="23"/>
  <c r="D127" i="23"/>
  <c r="E127" i="23" s="1"/>
  <c r="J128" i="6"/>
  <c r="G120" i="39"/>
  <c r="D121" i="39"/>
  <c r="E121" i="39" s="1"/>
  <c r="J130" i="7"/>
  <c r="J129" i="11"/>
  <c r="G130" i="11"/>
  <c r="D131" i="11"/>
  <c r="E131" i="11" s="1"/>
  <c r="J130" i="10"/>
  <c r="J122" i="31"/>
  <c r="J125" i="23"/>
  <c r="G121" i="47" l="1"/>
  <c r="D122" i="47"/>
  <c r="E122" i="47"/>
  <c r="H121" i="46"/>
  <c r="I121" i="46"/>
  <c r="J120" i="47"/>
  <c r="B122" i="46"/>
  <c r="F122" i="46"/>
  <c r="D126" i="44"/>
  <c r="F123" i="42"/>
  <c r="G123" i="42" s="1"/>
  <c r="E122" i="45"/>
  <c r="F122" i="45" s="1"/>
  <c r="B122" i="45"/>
  <c r="I121" i="45"/>
  <c r="H121" i="45"/>
  <c r="H125" i="44"/>
  <c r="I125" i="44"/>
  <c r="E126" i="44"/>
  <c r="B126" i="44"/>
  <c r="J121" i="41"/>
  <c r="G123" i="38"/>
  <c r="D124" i="38"/>
  <c r="B124" i="38" s="1"/>
  <c r="E124" i="38"/>
  <c r="J122" i="38"/>
  <c r="D123" i="41"/>
  <c r="G122" i="41"/>
  <c r="J122" i="42"/>
  <c r="B131" i="11"/>
  <c r="F131" i="11"/>
  <c r="B131" i="9"/>
  <c r="F131" i="9"/>
  <c r="H131" i="10"/>
  <c r="I131" i="10"/>
  <c r="B124" i="29"/>
  <c r="F124" i="29"/>
  <c r="H125" i="24"/>
  <c r="I125" i="24"/>
  <c r="H120" i="37"/>
  <c r="I120" i="37"/>
  <c r="B123" i="30"/>
  <c r="F123" i="30"/>
  <c r="I128" i="4"/>
  <c r="H128" i="4"/>
  <c r="B129" i="3"/>
  <c r="F129" i="3"/>
  <c r="H131" i="7"/>
  <c r="I131" i="7"/>
  <c r="B121" i="39"/>
  <c r="F121" i="39"/>
  <c r="B127" i="23"/>
  <c r="F127" i="23"/>
  <c r="I130" i="9"/>
  <c r="H130" i="9"/>
  <c r="B130" i="6"/>
  <c r="F130" i="6"/>
  <c r="I123" i="29"/>
  <c r="H123" i="29"/>
  <c r="H122" i="30"/>
  <c r="I122" i="30"/>
  <c r="B124" i="31"/>
  <c r="F124" i="31"/>
  <c r="I128" i="3"/>
  <c r="H128" i="3"/>
  <c r="B124" i="28"/>
  <c r="F124" i="28"/>
  <c r="H126" i="23"/>
  <c r="I126" i="23"/>
  <c r="B128" i="22"/>
  <c r="F128" i="22"/>
  <c r="H129" i="6"/>
  <c r="I129" i="6"/>
  <c r="B121" i="43"/>
  <c r="F121" i="43"/>
  <c r="B130" i="8"/>
  <c r="F130" i="8"/>
  <c r="B129" i="5"/>
  <c r="F129" i="5"/>
  <c r="B120" i="40"/>
  <c r="F120" i="40"/>
  <c r="H123" i="31"/>
  <c r="I123" i="31"/>
  <c r="B125" i="27"/>
  <c r="F125" i="27"/>
  <c r="H123" i="28"/>
  <c r="I123" i="28"/>
  <c r="B128" i="25"/>
  <c r="F128" i="25"/>
  <c r="H130" i="11"/>
  <c r="I130" i="11"/>
  <c r="H120" i="39"/>
  <c r="I120" i="39"/>
  <c r="B132" i="10"/>
  <c r="F132" i="10"/>
  <c r="I127" i="22"/>
  <c r="H127" i="22"/>
  <c r="B126" i="24"/>
  <c r="F126" i="24"/>
  <c r="H120" i="43"/>
  <c r="I120" i="43"/>
  <c r="B121" i="37"/>
  <c r="F121" i="37"/>
  <c r="I129" i="8"/>
  <c r="H129" i="8"/>
  <c r="B129" i="4"/>
  <c r="F129" i="4"/>
  <c r="H128" i="5"/>
  <c r="I128" i="5"/>
  <c r="H119" i="40"/>
  <c r="I119" i="40"/>
  <c r="B132" i="7"/>
  <c r="F132" i="7"/>
  <c r="H124" i="27"/>
  <c r="I124" i="27"/>
  <c r="H127" i="25"/>
  <c r="I127" i="25"/>
  <c r="D123" i="46" l="1"/>
  <c r="E123" i="46"/>
  <c r="G122" i="46"/>
  <c r="F122" i="47"/>
  <c r="B122" i="47"/>
  <c r="F126" i="44"/>
  <c r="J121" i="46"/>
  <c r="H121" i="47"/>
  <c r="I121" i="47"/>
  <c r="D124" i="42"/>
  <c r="J121" i="45"/>
  <c r="G122" i="45"/>
  <c r="D123" i="45"/>
  <c r="B123" i="45" s="1"/>
  <c r="E123" i="45"/>
  <c r="J125" i="44"/>
  <c r="G126" i="44"/>
  <c r="D127" i="44"/>
  <c r="F124" i="38"/>
  <c r="G124" i="38" s="1"/>
  <c r="H122" i="41"/>
  <c r="I122" i="41"/>
  <c r="I123" i="42"/>
  <c r="H123" i="42"/>
  <c r="E123" i="41"/>
  <c r="F123" i="41" s="1"/>
  <c r="B123" i="41"/>
  <c r="E124" i="42"/>
  <c r="F124" i="42" s="1"/>
  <c r="B124" i="42"/>
  <c r="I123" i="38"/>
  <c r="H123" i="38"/>
  <c r="J123" i="29"/>
  <c r="J130" i="9"/>
  <c r="J155" i="9" s="1"/>
  <c r="J128" i="3"/>
  <c r="J128" i="4"/>
  <c r="J129" i="8"/>
  <c r="J127" i="22"/>
  <c r="J127" i="25"/>
  <c r="J129" i="6"/>
  <c r="G132" i="7"/>
  <c r="D133" i="7"/>
  <c r="E133" i="7" s="1"/>
  <c r="J128" i="5"/>
  <c r="J120" i="43"/>
  <c r="J120" i="39"/>
  <c r="G128" i="25"/>
  <c r="D129" i="25"/>
  <c r="E129" i="25"/>
  <c r="G125" i="27"/>
  <c r="D126" i="27"/>
  <c r="E126" i="27" s="1"/>
  <c r="G120" i="40"/>
  <c r="D121" i="40"/>
  <c r="E121" i="40" s="1"/>
  <c r="G130" i="8"/>
  <c r="D131" i="8"/>
  <c r="E131" i="8"/>
  <c r="J126" i="23"/>
  <c r="J122" i="30"/>
  <c r="G130" i="6"/>
  <c r="D131" i="6"/>
  <c r="E131" i="6" s="1"/>
  <c r="G127" i="23"/>
  <c r="D128" i="23"/>
  <c r="E128" i="23" s="1"/>
  <c r="J131" i="7"/>
  <c r="J120" i="37"/>
  <c r="G124" i="29"/>
  <c r="D125" i="29"/>
  <c r="E125" i="29" s="1"/>
  <c r="G131" i="9"/>
  <c r="D132" i="9"/>
  <c r="E132" i="9"/>
  <c r="J124" i="27"/>
  <c r="J119" i="40"/>
  <c r="G129" i="4"/>
  <c r="D130" i="4"/>
  <c r="E130" i="4" s="1"/>
  <c r="G121" i="37"/>
  <c r="D122" i="37"/>
  <c r="E122" i="37"/>
  <c r="G126" i="24"/>
  <c r="D127" i="24"/>
  <c r="E127" i="24"/>
  <c r="G132" i="10"/>
  <c r="D133" i="10"/>
  <c r="E133" i="10" s="1"/>
  <c r="J130" i="11"/>
  <c r="J155" i="11" s="1"/>
  <c r="J123" i="28"/>
  <c r="J123" i="31"/>
  <c r="G129" i="5"/>
  <c r="D130" i="5"/>
  <c r="E130" i="5" s="1"/>
  <c r="G121" i="43"/>
  <c r="D122" i="43"/>
  <c r="E122" i="43" s="1"/>
  <c r="G128" i="22"/>
  <c r="D129" i="22"/>
  <c r="E129" i="22" s="1"/>
  <c r="G124" i="28"/>
  <c r="D125" i="28"/>
  <c r="E125" i="28" s="1"/>
  <c r="G124" i="31"/>
  <c r="D125" i="31"/>
  <c r="E125" i="31"/>
  <c r="G121" i="39"/>
  <c r="D122" i="39"/>
  <c r="E122" i="39"/>
  <c r="G129" i="3"/>
  <c r="D130" i="3"/>
  <c r="E130" i="3" s="1"/>
  <c r="G123" i="30"/>
  <c r="D124" i="30"/>
  <c r="E124" i="30" s="1"/>
  <c r="J125" i="24"/>
  <c r="J131" i="10"/>
  <c r="G131" i="11"/>
  <c r="D132" i="11"/>
  <c r="E132" i="11" s="1"/>
  <c r="G122" i="47" l="1"/>
  <c r="D123" i="47"/>
  <c r="E123" i="47" s="1"/>
  <c r="H122" i="46"/>
  <c r="I122" i="46"/>
  <c r="J121" i="47"/>
  <c r="F123" i="46"/>
  <c r="B123" i="46"/>
  <c r="F123" i="45"/>
  <c r="G123" i="45" s="1"/>
  <c r="H122" i="45"/>
  <c r="I122" i="45"/>
  <c r="D125" i="38"/>
  <c r="B125" i="38" s="1"/>
  <c r="J122" i="41"/>
  <c r="H126" i="44"/>
  <c r="I126" i="44"/>
  <c r="E127" i="44"/>
  <c r="F127" i="44" s="1"/>
  <c r="B127" i="44"/>
  <c r="J123" i="42"/>
  <c r="D125" i="42"/>
  <c r="G124" i="42"/>
  <c r="E125" i="38"/>
  <c r="G123" i="41"/>
  <c r="D124" i="41"/>
  <c r="B124" i="41" s="1"/>
  <c r="J123" i="38"/>
  <c r="H124" i="38"/>
  <c r="I124" i="38"/>
  <c r="F130" i="5"/>
  <c r="B130" i="5"/>
  <c r="B122" i="39"/>
  <c r="F122" i="39"/>
  <c r="H124" i="31"/>
  <c r="I124" i="31"/>
  <c r="B122" i="43"/>
  <c r="F122" i="43"/>
  <c r="H129" i="5"/>
  <c r="I129" i="5"/>
  <c r="B127" i="24"/>
  <c r="F127" i="24"/>
  <c r="H121" i="37"/>
  <c r="I121" i="37"/>
  <c r="I131" i="9"/>
  <c r="H131" i="9"/>
  <c r="I127" i="23"/>
  <c r="H127" i="23"/>
  <c r="H130" i="8"/>
  <c r="I130" i="8"/>
  <c r="B129" i="25"/>
  <c r="F129" i="25"/>
  <c r="I131" i="11"/>
  <c r="H131" i="11"/>
  <c r="H123" i="30"/>
  <c r="I123" i="30"/>
  <c r="B132" i="11"/>
  <c r="F132" i="11"/>
  <c r="B130" i="3"/>
  <c r="F130" i="3"/>
  <c r="H121" i="39"/>
  <c r="I121" i="39"/>
  <c r="B129" i="22"/>
  <c r="F129" i="22"/>
  <c r="H121" i="43"/>
  <c r="I121" i="43"/>
  <c r="B133" i="10"/>
  <c r="F133" i="10"/>
  <c r="H126" i="24"/>
  <c r="I126" i="24"/>
  <c r="B126" i="27"/>
  <c r="F126" i="27"/>
  <c r="I128" i="25"/>
  <c r="H128" i="25"/>
  <c r="B124" i="30"/>
  <c r="F124" i="30"/>
  <c r="H129" i="3"/>
  <c r="I129" i="3"/>
  <c r="B125" i="28"/>
  <c r="F125" i="28"/>
  <c r="H128" i="22"/>
  <c r="I128" i="22"/>
  <c r="H132" i="10"/>
  <c r="I132" i="10"/>
  <c r="B130" i="4"/>
  <c r="F130" i="4"/>
  <c r="B125" i="29"/>
  <c r="F125" i="29"/>
  <c r="B131" i="6"/>
  <c r="F131" i="6"/>
  <c r="B121" i="40"/>
  <c r="F121" i="40"/>
  <c r="H125" i="27"/>
  <c r="I125" i="27"/>
  <c r="B133" i="7"/>
  <c r="F133" i="7"/>
  <c r="B125" i="31"/>
  <c r="F125" i="31"/>
  <c r="H124" i="28"/>
  <c r="I124" i="28"/>
  <c r="B122" i="37"/>
  <c r="F122" i="37"/>
  <c r="H129" i="4"/>
  <c r="I129" i="4"/>
  <c r="B132" i="9"/>
  <c r="F132" i="9"/>
  <c r="H124" i="29"/>
  <c r="I124" i="29"/>
  <c r="B128" i="23"/>
  <c r="F128" i="23"/>
  <c r="H130" i="6"/>
  <c r="I130" i="6"/>
  <c r="B131" i="8"/>
  <c r="F131" i="8"/>
  <c r="H120" i="40"/>
  <c r="I120" i="40"/>
  <c r="H132" i="7"/>
  <c r="I132" i="7"/>
  <c r="D124" i="46" l="1"/>
  <c r="G123" i="46"/>
  <c r="E124" i="46"/>
  <c r="B123" i="47"/>
  <c r="F123" i="47"/>
  <c r="J122" i="46"/>
  <c r="H122" i="47"/>
  <c r="I122" i="47"/>
  <c r="J122" i="47" s="1"/>
  <c r="E124" i="45"/>
  <c r="D124" i="45"/>
  <c r="B124" i="45" s="1"/>
  <c r="F125" i="38"/>
  <c r="G125" i="38" s="1"/>
  <c r="J122" i="45"/>
  <c r="H123" i="45"/>
  <c r="I123" i="45"/>
  <c r="G127" i="44"/>
  <c r="D128" i="44"/>
  <c r="B128" i="44" s="1"/>
  <c r="E128" i="44"/>
  <c r="J126" i="44"/>
  <c r="J124" i="38"/>
  <c r="E124" i="41"/>
  <c r="F124" i="41" s="1"/>
  <c r="G124" i="41" s="1"/>
  <c r="H123" i="41"/>
  <c r="I123" i="41"/>
  <c r="I124" i="42"/>
  <c r="H124" i="42"/>
  <c r="E125" i="42"/>
  <c r="F125" i="42" s="1"/>
  <c r="B125" i="42"/>
  <c r="J121" i="37"/>
  <c r="J129" i="5"/>
  <c r="J124" i="31"/>
  <c r="J120" i="40"/>
  <c r="J123" i="30"/>
  <c r="J128" i="25"/>
  <c r="J132" i="7"/>
  <c r="G131" i="8"/>
  <c r="D132" i="8"/>
  <c r="E132" i="8"/>
  <c r="G128" i="23"/>
  <c r="D129" i="23"/>
  <c r="E129" i="23" s="1"/>
  <c r="G132" i="9"/>
  <c r="D133" i="9"/>
  <c r="E133" i="9" s="1"/>
  <c r="G122" i="37"/>
  <c r="D123" i="37"/>
  <c r="E123" i="37" s="1"/>
  <c r="G125" i="31"/>
  <c r="D126" i="31"/>
  <c r="E126" i="31"/>
  <c r="J125" i="27"/>
  <c r="G131" i="6"/>
  <c r="D132" i="6"/>
  <c r="E132" i="6"/>
  <c r="G130" i="4"/>
  <c r="D131" i="4"/>
  <c r="E131" i="4" s="1"/>
  <c r="J128" i="22"/>
  <c r="J129" i="3"/>
  <c r="J126" i="24"/>
  <c r="J121" i="43"/>
  <c r="J121" i="39"/>
  <c r="G132" i="11"/>
  <c r="D133" i="11"/>
  <c r="E133" i="11" s="1"/>
  <c r="J130" i="8"/>
  <c r="G127" i="24"/>
  <c r="D128" i="24"/>
  <c r="E128" i="24" s="1"/>
  <c r="G122" i="43"/>
  <c r="D123" i="43"/>
  <c r="E123" i="43"/>
  <c r="G122" i="39"/>
  <c r="D123" i="39"/>
  <c r="E123" i="39" s="1"/>
  <c r="J130" i="6"/>
  <c r="J124" i="29"/>
  <c r="J129" i="4"/>
  <c r="J124" i="28"/>
  <c r="G133" i="7"/>
  <c r="D134" i="7"/>
  <c r="E134" i="7"/>
  <c r="G121" i="40"/>
  <c r="D122" i="40"/>
  <c r="E122" i="40" s="1"/>
  <c r="G125" i="29"/>
  <c r="D126" i="29"/>
  <c r="E126" i="29" s="1"/>
  <c r="J132" i="10"/>
  <c r="G125" i="28"/>
  <c r="D126" i="28"/>
  <c r="E126" i="28" s="1"/>
  <c r="G124" i="30"/>
  <c r="D125" i="30"/>
  <c r="E125" i="30"/>
  <c r="G126" i="27"/>
  <c r="D127" i="27"/>
  <c r="E127" i="27"/>
  <c r="G133" i="10"/>
  <c r="D134" i="10"/>
  <c r="E134" i="10" s="1"/>
  <c r="G129" i="22"/>
  <c r="D130" i="22"/>
  <c r="E130" i="22" s="1"/>
  <c r="G130" i="3"/>
  <c r="D131" i="3"/>
  <c r="E131" i="3" s="1"/>
  <c r="G129" i="25"/>
  <c r="D130" i="25"/>
  <c r="E130" i="25" s="1"/>
  <c r="J127" i="23"/>
  <c r="G130" i="5"/>
  <c r="D131" i="5"/>
  <c r="E131" i="5" s="1"/>
  <c r="H123" i="46" l="1"/>
  <c r="I123" i="46"/>
  <c r="J123" i="46" s="1"/>
  <c r="D124" i="47"/>
  <c r="E124" i="47" s="1"/>
  <c r="G123" i="47"/>
  <c r="B124" i="46"/>
  <c r="F124" i="46"/>
  <c r="D126" i="38"/>
  <c r="F124" i="45"/>
  <c r="J123" i="45"/>
  <c r="F128" i="44"/>
  <c r="G128" i="44" s="1"/>
  <c r="I127" i="44"/>
  <c r="H127" i="44"/>
  <c r="D125" i="41"/>
  <c r="B125" i="41" s="1"/>
  <c r="J123" i="41"/>
  <c r="J124" i="42"/>
  <c r="H124" i="41"/>
  <c r="I124" i="41"/>
  <c r="G125" i="42"/>
  <c r="D126" i="42"/>
  <c r="I125" i="38"/>
  <c r="H125" i="38"/>
  <c r="E126" i="38"/>
  <c r="B126" i="38"/>
  <c r="B131" i="5"/>
  <c r="F131" i="5"/>
  <c r="H130" i="3"/>
  <c r="I130" i="3"/>
  <c r="H130" i="5"/>
  <c r="I130" i="5"/>
  <c r="B131" i="3"/>
  <c r="F131" i="3"/>
  <c r="I129" i="22"/>
  <c r="H129" i="22"/>
  <c r="B125" i="30"/>
  <c r="F125" i="30"/>
  <c r="H125" i="28"/>
  <c r="I125" i="28"/>
  <c r="H125" i="29"/>
  <c r="I125" i="29"/>
  <c r="B123" i="39"/>
  <c r="F123" i="39"/>
  <c r="H122" i="43"/>
  <c r="I122" i="43"/>
  <c r="B123" i="37"/>
  <c r="F123" i="37"/>
  <c r="H132" i="9"/>
  <c r="I132" i="9"/>
  <c r="B130" i="25"/>
  <c r="F130" i="25"/>
  <c r="B127" i="27"/>
  <c r="F127" i="27"/>
  <c r="H124" i="30"/>
  <c r="I124" i="30"/>
  <c r="B134" i="7"/>
  <c r="F134" i="7"/>
  <c r="H122" i="39"/>
  <c r="I122" i="39"/>
  <c r="B132" i="6"/>
  <c r="F132" i="6"/>
  <c r="B126" i="31"/>
  <c r="F126" i="31"/>
  <c r="I122" i="37"/>
  <c r="H122" i="37"/>
  <c r="B132" i="8"/>
  <c r="F132" i="8"/>
  <c r="B134" i="10"/>
  <c r="F134" i="10"/>
  <c r="I126" i="27"/>
  <c r="H126" i="27"/>
  <c r="B122" i="40"/>
  <c r="F122" i="40"/>
  <c r="H133" i="7"/>
  <c r="I133" i="7"/>
  <c r="B128" i="24"/>
  <c r="F128" i="24"/>
  <c r="B133" i="11"/>
  <c r="F133" i="11"/>
  <c r="B131" i="4"/>
  <c r="F131" i="4"/>
  <c r="H131" i="6"/>
  <c r="I131" i="6"/>
  <c r="I125" i="31"/>
  <c r="H125" i="31"/>
  <c r="B129" i="23"/>
  <c r="F129" i="23"/>
  <c r="H131" i="8"/>
  <c r="I131" i="8"/>
  <c r="H129" i="25"/>
  <c r="I129" i="25"/>
  <c r="B130" i="22"/>
  <c r="F130" i="22"/>
  <c r="H133" i="10"/>
  <c r="I133" i="10"/>
  <c r="B126" i="28"/>
  <c r="F126" i="28"/>
  <c r="B126" i="29"/>
  <c r="F126" i="29"/>
  <c r="H121" i="40"/>
  <c r="I121" i="40"/>
  <c r="B123" i="43"/>
  <c r="F123" i="43"/>
  <c r="I127" i="24"/>
  <c r="H127" i="24"/>
  <c r="I132" i="11"/>
  <c r="H132" i="11"/>
  <c r="H130" i="4"/>
  <c r="I130" i="4"/>
  <c r="B133" i="9"/>
  <c r="F133" i="9"/>
  <c r="H128" i="23"/>
  <c r="I128" i="23"/>
  <c r="H123" i="47" l="1"/>
  <c r="I123" i="47"/>
  <c r="E125" i="46"/>
  <c r="D125" i="46"/>
  <c r="G124" i="46"/>
  <c r="F124" i="47"/>
  <c r="B124" i="47"/>
  <c r="F126" i="38"/>
  <c r="D127" i="38" s="1"/>
  <c r="D129" i="44"/>
  <c r="B129" i="44" s="1"/>
  <c r="E125" i="45"/>
  <c r="G124" i="45"/>
  <c r="D125" i="45"/>
  <c r="E125" i="41"/>
  <c r="F125" i="41" s="1"/>
  <c r="D126" i="41" s="1"/>
  <c r="J124" i="41"/>
  <c r="J127" i="44"/>
  <c r="E129" i="44"/>
  <c r="H128" i="44"/>
  <c r="I128" i="44"/>
  <c r="E126" i="42"/>
  <c r="F126" i="42" s="1"/>
  <c r="B126" i="42"/>
  <c r="I125" i="42"/>
  <c r="H125" i="42"/>
  <c r="J125" i="38"/>
  <c r="J130" i="3"/>
  <c r="J129" i="22"/>
  <c r="J122" i="37"/>
  <c r="J125" i="31"/>
  <c r="J127" i="24"/>
  <c r="J126" i="27"/>
  <c r="J133" i="10"/>
  <c r="J122" i="39"/>
  <c r="J124" i="30"/>
  <c r="J128" i="23"/>
  <c r="J130" i="4"/>
  <c r="J121" i="40"/>
  <c r="G126" i="28"/>
  <c r="D127" i="28"/>
  <c r="E127" i="28" s="1"/>
  <c r="G130" i="22"/>
  <c r="D131" i="22"/>
  <c r="E131" i="22"/>
  <c r="J131" i="8"/>
  <c r="G131" i="4"/>
  <c r="D132" i="4"/>
  <c r="E132" i="4"/>
  <c r="G128" i="24"/>
  <c r="D129" i="24"/>
  <c r="E129" i="24"/>
  <c r="G122" i="40"/>
  <c r="D123" i="40"/>
  <c r="E123" i="40" s="1"/>
  <c r="G134" i="10"/>
  <c r="D135" i="10"/>
  <c r="E135" i="10" s="1"/>
  <c r="G132" i="6"/>
  <c r="D133" i="6"/>
  <c r="E133" i="6" s="1"/>
  <c r="G134" i="7"/>
  <c r="D135" i="7"/>
  <c r="E135" i="7"/>
  <c r="G127" i="27"/>
  <c r="D128" i="27"/>
  <c r="E128" i="27" s="1"/>
  <c r="J122" i="43"/>
  <c r="J125" i="29"/>
  <c r="G125" i="30"/>
  <c r="D126" i="30"/>
  <c r="E126" i="30"/>
  <c r="G131" i="3"/>
  <c r="D132" i="3"/>
  <c r="E132" i="3" s="1"/>
  <c r="G133" i="9"/>
  <c r="D134" i="9"/>
  <c r="E134" i="9" s="1"/>
  <c r="G123" i="43"/>
  <c r="D124" i="43"/>
  <c r="E124" i="43" s="1"/>
  <c r="G126" i="29"/>
  <c r="D127" i="29"/>
  <c r="E127" i="29"/>
  <c r="J129" i="25"/>
  <c r="G129" i="23"/>
  <c r="D130" i="23"/>
  <c r="E130" i="23"/>
  <c r="J131" i="6"/>
  <c r="G133" i="11"/>
  <c r="D134" i="11"/>
  <c r="E134" i="11"/>
  <c r="J133" i="7"/>
  <c r="G132" i="8"/>
  <c r="D133" i="8"/>
  <c r="E133" i="8"/>
  <c r="G126" i="31"/>
  <c r="D127" i="31"/>
  <c r="E127" i="31" s="1"/>
  <c r="G130" i="25"/>
  <c r="D131" i="25"/>
  <c r="E131" i="25" s="1"/>
  <c r="G123" i="37"/>
  <c r="D124" i="37"/>
  <c r="E124" i="37" s="1"/>
  <c r="G123" i="39"/>
  <c r="D124" i="39"/>
  <c r="E124" i="39" s="1"/>
  <c r="J125" i="28"/>
  <c r="J130" i="5"/>
  <c r="G131" i="5"/>
  <c r="D132" i="5"/>
  <c r="E132" i="5" s="1"/>
  <c r="J123" i="47" l="1"/>
  <c r="B125" i="46"/>
  <c r="F125" i="46"/>
  <c r="D125" i="47"/>
  <c r="E125" i="47" s="1"/>
  <c r="G124" i="47"/>
  <c r="I124" i="46"/>
  <c r="H124" i="46"/>
  <c r="G126" i="38"/>
  <c r="H126" i="38" s="1"/>
  <c r="F129" i="44"/>
  <c r="D130" i="44" s="1"/>
  <c r="H124" i="45"/>
  <c r="I124" i="45"/>
  <c r="B125" i="45"/>
  <c r="F125" i="45"/>
  <c r="G125" i="41"/>
  <c r="H125" i="41" s="1"/>
  <c r="J128" i="44"/>
  <c r="D127" i="42"/>
  <c r="B127" i="42" s="1"/>
  <c r="G126" i="42"/>
  <c r="E126" i="41"/>
  <c r="F126" i="41" s="1"/>
  <c r="B126" i="41"/>
  <c r="J125" i="42"/>
  <c r="E127" i="38"/>
  <c r="F127" i="38" s="1"/>
  <c r="B127" i="38"/>
  <c r="B132" i="5"/>
  <c r="F132" i="5"/>
  <c r="B124" i="37"/>
  <c r="F124" i="37"/>
  <c r="H130" i="25"/>
  <c r="I130" i="25"/>
  <c r="B124" i="43"/>
  <c r="F124" i="43"/>
  <c r="H133" i="9"/>
  <c r="I133" i="9"/>
  <c r="B133" i="6"/>
  <c r="F133" i="6"/>
  <c r="H134" i="10"/>
  <c r="I134" i="10"/>
  <c r="B132" i="4"/>
  <c r="F132" i="4"/>
  <c r="B131" i="22"/>
  <c r="F131" i="22"/>
  <c r="H126" i="28"/>
  <c r="I126" i="28"/>
  <c r="H131" i="5"/>
  <c r="I131" i="5"/>
  <c r="B133" i="8"/>
  <c r="F133" i="8"/>
  <c r="B134" i="11"/>
  <c r="F134" i="11"/>
  <c r="B130" i="23"/>
  <c r="F130" i="23"/>
  <c r="B127" i="29"/>
  <c r="F127" i="29"/>
  <c r="I123" i="43"/>
  <c r="H123" i="43"/>
  <c r="B126" i="30"/>
  <c r="F126" i="30"/>
  <c r="B135" i="7"/>
  <c r="F135" i="7"/>
  <c r="H132" i="6"/>
  <c r="I132" i="6"/>
  <c r="B129" i="24"/>
  <c r="F129" i="24"/>
  <c r="H131" i="4"/>
  <c r="I131" i="4"/>
  <c r="H130" i="22"/>
  <c r="I130" i="22"/>
  <c r="B124" i="39"/>
  <c r="F124" i="39"/>
  <c r="H123" i="39"/>
  <c r="I123" i="39"/>
  <c r="B127" i="31"/>
  <c r="F127" i="31"/>
  <c r="H132" i="8"/>
  <c r="I132" i="8"/>
  <c r="H133" i="11"/>
  <c r="I133" i="11"/>
  <c r="H129" i="23"/>
  <c r="I129" i="23"/>
  <c r="H126" i="29"/>
  <c r="I126" i="29"/>
  <c r="B132" i="3"/>
  <c r="F132" i="3"/>
  <c r="I125" i="30"/>
  <c r="H125" i="30"/>
  <c r="B128" i="27"/>
  <c r="F128" i="27"/>
  <c r="H134" i="7"/>
  <c r="I134" i="7"/>
  <c r="B123" i="40"/>
  <c r="F123" i="40"/>
  <c r="I128" i="24"/>
  <c r="H128" i="24"/>
  <c r="H123" i="37"/>
  <c r="I123" i="37"/>
  <c r="B131" i="25"/>
  <c r="F131" i="25"/>
  <c r="I126" i="31"/>
  <c r="H126" i="31"/>
  <c r="B134" i="9"/>
  <c r="F134" i="9"/>
  <c r="H131" i="3"/>
  <c r="I131" i="3"/>
  <c r="H127" i="27"/>
  <c r="I127" i="27"/>
  <c r="B135" i="10"/>
  <c r="F135" i="10"/>
  <c r="H122" i="40"/>
  <c r="I122" i="40"/>
  <c r="B127" i="28"/>
  <c r="F127" i="28"/>
  <c r="H124" i="47" l="1"/>
  <c r="I124" i="47"/>
  <c r="J124" i="47" s="1"/>
  <c r="B125" i="47"/>
  <c r="F125" i="47"/>
  <c r="J124" i="46"/>
  <c r="G125" i="46"/>
  <c r="D126" i="46"/>
  <c r="E126" i="46"/>
  <c r="I126" i="38"/>
  <c r="J124" i="45"/>
  <c r="G129" i="44"/>
  <c r="I129" i="44" s="1"/>
  <c r="G125" i="45"/>
  <c r="D126" i="45"/>
  <c r="E126" i="45"/>
  <c r="I125" i="41"/>
  <c r="J125" i="41" s="1"/>
  <c r="E130" i="44"/>
  <c r="F130" i="44" s="1"/>
  <c r="B130" i="44"/>
  <c r="J126" i="38"/>
  <c r="E127" i="42"/>
  <c r="F127" i="42" s="1"/>
  <c r="D128" i="42" s="1"/>
  <c r="B128" i="42" s="1"/>
  <c r="G126" i="41"/>
  <c r="D127" i="41"/>
  <c r="B127" i="41" s="1"/>
  <c r="G127" i="38"/>
  <c r="D128" i="38"/>
  <c r="B128" i="38" s="1"/>
  <c r="E128" i="38"/>
  <c r="I126" i="42"/>
  <c r="H126" i="42"/>
  <c r="J125" i="30"/>
  <c r="J126" i="31"/>
  <c r="J123" i="43"/>
  <c r="J122" i="40"/>
  <c r="J131" i="4"/>
  <c r="J127" i="27"/>
  <c r="J134" i="7"/>
  <c r="J128" i="24"/>
  <c r="G127" i="28"/>
  <c r="D128" i="28"/>
  <c r="E128" i="28" s="1"/>
  <c r="G135" i="10"/>
  <c r="D136" i="10"/>
  <c r="E136" i="10"/>
  <c r="J131" i="3"/>
  <c r="J123" i="37"/>
  <c r="G123" i="40"/>
  <c r="D124" i="40"/>
  <c r="E124" i="40" s="1"/>
  <c r="G128" i="27"/>
  <c r="D129" i="27"/>
  <c r="E129" i="27" s="1"/>
  <c r="G132" i="3"/>
  <c r="D133" i="3"/>
  <c r="E133" i="3"/>
  <c r="J129" i="23"/>
  <c r="J132" i="8"/>
  <c r="J123" i="39"/>
  <c r="J130" i="22"/>
  <c r="J155" i="22" s="1"/>
  <c r="G129" i="24"/>
  <c r="D130" i="24"/>
  <c r="E130" i="24"/>
  <c r="G135" i="7"/>
  <c r="D136" i="7"/>
  <c r="E136" i="7" s="1"/>
  <c r="G130" i="23"/>
  <c r="D131" i="23"/>
  <c r="E131" i="23"/>
  <c r="G133" i="8"/>
  <c r="D134" i="8"/>
  <c r="E134" i="8"/>
  <c r="J126" i="28"/>
  <c r="G132" i="4"/>
  <c r="D133" i="4"/>
  <c r="E133" i="4"/>
  <c r="G133" i="6"/>
  <c r="D134" i="6"/>
  <c r="E134" i="6"/>
  <c r="G124" i="43"/>
  <c r="D125" i="43"/>
  <c r="E125" i="43" s="1"/>
  <c r="G124" i="37"/>
  <c r="D125" i="37"/>
  <c r="E125" i="37"/>
  <c r="G134" i="9"/>
  <c r="D135" i="9"/>
  <c r="E135" i="9"/>
  <c r="D132" i="25"/>
  <c r="E132" i="25" s="1"/>
  <c r="G131" i="25"/>
  <c r="J126" i="29"/>
  <c r="G127" i="31"/>
  <c r="D128" i="31"/>
  <c r="E128" i="31"/>
  <c r="G124" i="39"/>
  <c r="D125" i="39"/>
  <c r="E125" i="39" s="1"/>
  <c r="J132" i="6"/>
  <c r="G126" i="30"/>
  <c r="D127" i="30"/>
  <c r="E127" i="30" s="1"/>
  <c r="G127" i="29"/>
  <c r="D128" i="29"/>
  <c r="E128" i="29"/>
  <c r="G134" i="11"/>
  <c r="D135" i="11"/>
  <c r="E135" i="11"/>
  <c r="J131" i="5"/>
  <c r="G131" i="22"/>
  <c r="D132" i="22"/>
  <c r="E132" i="22"/>
  <c r="J134" i="10"/>
  <c r="J130" i="25"/>
  <c r="G132" i="5"/>
  <c r="D133" i="5"/>
  <c r="E133" i="5"/>
  <c r="D126" i="47" l="1"/>
  <c r="E126" i="47" s="1"/>
  <c r="G125" i="47"/>
  <c r="B126" i="46"/>
  <c r="F126" i="46"/>
  <c r="I125" i="46"/>
  <c r="H125" i="46"/>
  <c r="H129" i="44"/>
  <c r="J129" i="44" s="1"/>
  <c r="I125" i="45"/>
  <c r="H125" i="45"/>
  <c r="F126" i="45"/>
  <c r="B126" i="45"/>
  <c r="G130" i="44"/>
  <c r="D131" i="44"/>
  <c r="B131" i="44" s="1"/>
  <c r="G127" i="42"/>
  <c r="I127" i="42" s="1"/>
  <c r="F128" i="38"/>
  <c r="G128" i="38" s="1"/>
  <c r="E128" i="42"/>
  <c r="F128" i="42" s="1"/>
  <c r="E127" i="41"/>
  <c r="F127" i="41" s="1"/>
  <c r="G127" i="41" s="1"/>
  <c r="I127" i="38"/>
  <c r="H127" i="38"/>
  <c r="J126" i="42"/>
  <c r="I126" i="41"/>
  <c r="H126" i="41"/>
  <c r="I132" i="5"/>
  <c r="H132" i="5"/>
  <c r="B135" i="11"/>
  <c r="F135" i="11"/>
  <c r="H127" i="29"/>
  <c r="I127" i="29"/>
  <c r="B135" i="9"/>
  <c r="F135" i="9"/>
  <c r="H124" i="37"/>
  <c r="I124" i="37"/>
  <c r="B133" i="4"/>
  <c r="F133" i="4"/>
  <c r="B134" i="8"/>
  <c r="F134" i="8"/>
  <c r="H130" i="23"/>
  <c r="I130" i="23"/>
  <c r="B133" i="3"/>
  <c r="F133" i="3"/>
  <c r="H128" i="27"/>
  <c r="I128" i="27"/>
  <c r="H135" i="10"/>
  <c r="I135" i="10"/>
  <c r="B133" i="5"/>
  <c r="F133" i="5"/>
  <c r="B132" i="22"/>
  <c r="F132" i="22"/>
  <c r="I131" i="22"/>
  <c r="H131" i="22"/>
  <c r="I134" i="11"/>
  <c r="H134" i="11"/>
  <c r="B128" i="31"/>
  <c r="F128" i="31"/>
  <c r="H131" i="25"/>
  <c r="I131" i="25"/>
  <c r="I134" i="9"/>
  <c r="H134" i="9"/>
  <c r="B134" i="6"/>
  <c r="F134" i="6"/>
  <c r="I132" i="4"/>
  <c r="H132" i="4"/>
  <c r="I133" i="8"/>
  <c r="H133" i="8"/>
  <c r="B130" i="24"/>
  <c r="F130" i="24"/>
  <c r="I132" i="3"/>
  <c r="H132" i="3"/>
  <c r="B127" i="30"/>
  <c r="F127" i="30"/>
  <c r="B125" i="39"/>
  <c r="F125" i="39"/>
  <c r="H127" i="31"/>
  <c r="I127" i="31"/>
  <c r="B132" i="25"/>
  <c r="F132" i="25"/>
  <c r="B125" i="43"/>
  <c r="F125" i="43"/>
  <c r="H133" i="6"/>
  <c r="I133" i="6"/>
  <c r="B136" i="7"/>
  <c r="F136" i="7"/>
  <c r="H129" i="24"/>
  <c r="I129" i="24"/>
  <c r="B124" i="40"/>
  <c r="F124" i="40"/>
  <c r="B128" i="28"/>
  <c r="F128" i="28"/>
  <c r="B128" i="29"/>
  <c r="F128" i="29"/>
  <c r="H126" i="30"/>
  <c r="I126" i="30"/>
  <c r="I124" i="39"/>
  <c r="H124" i="39"/>
  <c r="B125" i="37"/>
  <c r="F125" i="37"/>
  <c r="I124" i="43"/>
  <c r="H124" i="43"/>
  <c r="B131" i="23"/>
  <c r="F131" i="23"/>
  <c r="H135" i="7"/>
  <c r="I135" i="7"/>
  <c r="B129" i="27"/>
  <c r="F129" i="27"/>
  <c r="H123" i="40"/>
  <c r="I123" i="40"/>
  <c r="B136" i="10"/>
  <c r="F136" i="10"/>
  <c r="H127" i="28"/>
  <c r="I127" i="28"/>
  <c r="J125" i="46" l="1"/>
  <c r="I125" i="47"/>
  <c r="H125" i="47"/>
  <c r="G126" i="46"/>
  <c r="D127" i="46"/>
  <c r="E127" i="46"/>
  <c r="F126" i="47"/>
  <c r="B126" i="47"/>
  <c r="J125" i="45"/>
  <c r="D127" i="45"/>
  <c r="B127" i="45" s="1"/>
  <c r="G126" i="45"/>
  <c r="E127" i="45"/>
  <c r="E131" i="44"/>
  <c r="F131" i="44" s="1"/>
  <c r="H127" i="42"/>
  <c r="J127" i="42" s="1"/>
  <c r="D129" i="38"/>
  <c r="B129" i="38" s="1"/>
  <c r="I130" i="44"/>
  <c r="H130" i="44"/>
  <c r="D129" i="42"/>
  <c r="B129" i="42" s="1"/>
  <c r="G128" i="42"/>
  <c r="I128" i="42" s="1"/>
  <c r="D128" i="41"/>
  <c r="B128" i="41" s="1"/>
  <c r="E129" i="42"/>
  <c r="H127" i="41"/>
  <c r="I127" i="41"/>
  <c r="J126" i="41"/>
  <c r="H128" i="38"/>
  <c r="I128" i="38"/>
  <c r="J127" i="38"/>
  <c r="J124" i="39"/>
  <c r="J132" i="4"/>
  <c r="J124" i="43"/>
  <c r="J132" i="3"/>
  <c r="J124" i="37"/>
  <c r="J127" i="29"/>
  <c r="J133" i="8"/>
  <c r="J127" i="28"/>
  <c r="J123" i="40"/>
  <c r="J135" i="7"/>
  <c r="G128" i="29"/>
  <c r="D129" i="29"/>
  <c r="E129" i="29" s="1"/>
  <c r="G124" i="40"/>
  <c r="D125" i="40"/>
  <c r="E125" i="40" s="1"/>
  <c r="G136" i="7"/>
  <c r="D137" i="7"/>
  <c r="E137" i="7" s="1"/>
  <c r="G125" i="43"/>
  <c r="D126" i="43"/>
  <c r="E126" i="43"/>
  <c r="J127" i="31"/>
  <c r="G127" i="30"/>
  <c r="D128" i="30"/>
  <c r="E128" i="30"/>
  <c r="G130" i="24"/>
  <c r="D131" i="24"/>
  <c r="E131" i="24" s="1"/>
  <c r="G128" i="31"/>
  <c r="D129" i="31"/>
  <c r="E129" i="31"/>
  <c r="G133" i="5"/>
  <c r="D134" i="5"/>
  <c r="E134" i="5" s="1"/>
  <c r="J128" i="27"/>
  <c r="J130" i="23"/>
  <c r="J155" i="23" s="1"/>
  <c r="G133" i="4"/>
  <c r="D134" i="4"/>
  <c r="E134" i="4"/>
  <c r="G135" i="9"/>
  <c r="D136" i="9"/>
  <c r="E136" i="9" s="1"/>
  <c r="D136" i="11"/>
  <c r="G135" i="11"/>
  <c r="E136" i="11"/>
  <c r="G136" i="10"/>
  <c r="D137" i="10"/>
  <c r="E137" i="10"/>
  <c r="G129" i="27"/>
  <c r="D130" i="27"/>
  <c r="E130" i="27" s="1"/>
  <c r="G131" i="23"/>
  <c r="D132" i="23"/>
  <c r="E132" i="23" s="1"/>
  <c r="G125" i="37"/>
  <c r="D126" i="37"/>
  <c r="E126" i="37" s="1"/>
  <c r="J126" i="30"/>
  <c r="G128" i="28"/>
  <c r="D129" i="28"/>
  <c r="E129" i="28" s="1"/>
  <c r="J129" i="24"/>
  <c r="J133" i="6"/>
  <c r="G132" i="25"/>
  <c r="D133" i="25"/>
  <c r="E133" i="25" s="1"/>
  <c r="G125" i="39"/>
  <c r="D126" i="39"/>
  <c r="E126" i="39" s="1"/>
  <c r="G134" i="6"/>
  <c r="D135" i="6"/>
  <c r="E135" i="6"/>
  <c r="J131" i="25"/>
  <c r="G132" i="22"/>
  <c r="D133" i="22"/>
  <c r="E133" i="22"/>
  <c r="J135" i="10"/>
  <c r="G133" i="3"/>
  <c r="D134" i="3"/>
  <c r="E134" i="3"/>
  <c r="G134" i="8"/>
  <c r="D135" i="8"/>
  <c r="E135" i="8"/>
  <c r="J132" i="5"/>
  <c r="J125" i="47" l="1"/>
  <c r="I126" i="46"/>
  <c r="H126" i="46"/>
  <c r="G126" i="47"/>
  <c r="D127" i="47"/>
  <c r="E127" i="47" s="1"/>
  <c r="B127" i="46"/>
  <c r="F127" i="46"/>
  <c r="F127" i="45"/>
  <c r="D128" i="45" s="1"/>
  <c r="H126" i="45"/>
  <c r="I126" i="45"/>
  <c r="D132" i="44"/>
  <c r="B132" i="44" s="1"/>
  <c r="G131" i="44"/>
  <c r="I131" i="44" s="1"/>
  <c r="H128" i="42"/>
  <c r="J128" i="42" s="1"/>
  <c r="E129" i="38"/>
  <c r="F129" i="38" s="1"/>
  <c r="G129" i="38" s="1"/>
  <c r="E128" i="41"/>
  <c r="F128" i="41" s="1"/>
  <c r="G128" i="41" s="1"/>
  <c r="I128" i="41" s="1"/>
  <c r="F129" i="42"/>
  <c r="G129" i="42" s="1"/>
  <c r="J130" i="44"/>
  <c r="J155" i="44" s="1"/>
  <c r="E132" i="44"/>
  <c r="J128" i="38"/>
  <c r="J127" i="41"/>
  <c r="B135" i="8"/>
  <c r="F135" i="8"/>
  <c r="H133" i="3"/>
  <c r="I133" i="3"/>
  <c r="I132" i="22"/>
  <c r="H132" i="22"/>
  <c r="H134" i="6"/>
  <c r="I134" i="6"/>
  <c r="B130" i="27"/>
  <c r="F130" i="27"/>
  <c r="H136" i="10"/>
  <c r="I136" i="10"/>
  <c r="B134" i="4"/>
  <c r="F134" i="4"/>
  <c r="B129" i="31"/>
  <c r="F129" i="31"/>
  <c r="H130" i="24"/>
  <c r="I130" i="24"/>
  <c r="B125" i="40"/>
  <c r="F125" i="40"/>
  <c r="I128" i="29"/>
  <c r="H128" i="29"/>
  <c r="H134" i="8"/>
  <c r="I134" i="8"/>
  <c r="B133" i="25"/>
  <c r="F133" i="25"/>
  <c r="B132" i="23"/>
  <c r="F132" i="23"/>
  <c r="H129" i="27"/>
  <c r="I129" i="27"/>
  <c r="B136" i="9"/>
  <c r="F136" i="9"/>
  <c r="H133" i="4"/>
  <c r="I133" i="4"/>
  <c r="B134" i="5"/>
  <c r="F134" i="5"/>
  <c r="H128" i="31"/>
  <c r="I128" i="31"/>
  <c r="B137" i="7"/>
  <c r="F137" i="7"/>
  <c r="H124" i="40"/>
  <c r="I124" i="40"/>
  <c r="B126" i="39"/>
  <c r="F126" i="39"/>
  <c r="H132" i="25"/>
  <c r="I132" i="25"/>
  <c r="B129" i="28"/>
  <c r="F129" i="28"/>
  <c r="B126" i="37"/>
  <c r="F126" i="37"/>
  <c r="I131" i="23"/>
  <c r="H131" i="23"/>
  <c r="I135" i="11"/>
  <c r="H135" i="11"/>
  <c r="I135" i="9"/>
  <c r="H135" i="9"/>
  <c r="H133" i="5"/>
  <c r="I133" i="5"/>
  <c r="B128" i="30"/>
  <c r="F128" i="30"/>
  <c r="B126" i="43"/>
  <c r="F126" i="43"/>
  <c r="H136" i="7"/>
  <c r="I136" i="7"/>
  <c r="B134" i="3"/>
  <c r="F134" i="3"/>
  <c r="B133" i="22"/>
  <c r="F133" i="22"/>
  <c r="B135" i="6"/>
  <c r="F135" i="6"/>
  <c r="H125" i="39"/>
  <c r="I125" i="39"/>
  <c r="H128" i="28"/>
  <c r="I128" i="28"/>
  <c r="H125" i="37"/>
  <c r="I125" i="37"/>
  <c r="B137" i="10"/>
  <c r="F137" i="10"/>
  <c r="B136" i="11"/>
  <c r="F136" i="11"/>
  <c r="B131" i="24"/>
  <c r="F131" i="24"/>
  <c r="H127" i="30"/>
  <c r="I127" i="30"/>
  <c r="I125" i="43"/>
  <c r="H125" i="43"/>
  <c r="B129" i="29"/>
  <c r="F129" i="29"/>
  <c r="B127" i="47" l="1"/>
  <c r="F127" i="47"/>
  <c r="D128" i="46"/>
  <c r="G127" i="46"/>
  <c r="E128" i="46"/>
  <c r="I126" i="47"/>
  <c r="H126" i="47"/>
  <c r="J126" i="46"/>
  <c r="E128" i="45"/>
  <c r="F128" i="45" s="1"/>
  <c r="J126" i="45"/>
  <c r="G127" i="45"/>
  <c r="I127" i="45" s="1"/>
  <c r="H131" i="44"/>
  <c r="B128" i="45"/>
  <c r="F132" i="44"/>
  <c r="G132" i="44" s="1"/>
  <c r="D130" i="38"/>
  <c r="B130" i="38" s="1"/>
  <c r="D130" i="42"/>
  <c r="B130" i="42" s="1"/>
  <c r="D129" i="41"/>
  <c r="B129" i="41" s="1"/>
  <c r="H128" i="41"/>
  <c r="J128" i="41" s="1"/>
  <c r="E129" i="41"/>
  <c r="H129" i="38"/>
  <c r="I129" i="38"/>
  <c r="E130" i="42"/>
  <c r="I129" i="42"/>
  <c r="H129" i="42"/>
  <c r="E130" i="38"/>
  <c r="J136" i="10"/>
  <c r="J134" i="6"/>
  <c r="J133" i="3"/>
  <c r="J128" i="28"/>
  <c r="J133" i="5"/>
  <c r="J132" i="25"/>
  <c r="J155" i="25" s="1"/>
  <c r="J124" i="40"/>
  <c r="J128" i="31"/>
  <c r="J133" i="4"/>
  <c r="J129" i="27"/>
  <c r="J130" i="24"/>
  <c r="J155" i="24" s="1"/>
  <c r="G131" i="24"/>
  <c r="D132" i="24"/>
  <c r="E132" i="24"/>
  <c r="D135" i="3"/>
  <c r="E135" i="3" s="1"/>
  <c r="G134" i="3"/>
  <c r="G126" i="37"/>
  <c r="D127" i="37"/>
  <c r="E127" i="37"/>
  <c r="G129" i="29"/>
  <c r="D130" i="29"/>
  <c r="E130" i="29"/>
  <c r="J127" i="30"/>
  <c r="G136" i="11"/>
  <c r="D137" i="11"/>
  <c r="E137" i="11"/>
  <c r="J125" i="37"/>
  <c r="J125" i="39"/>
  <c r="G133" i="22"/>
  <c r="D134" i="22"/>
  <c r="E134" i="22"/>
  <c r="J136" i="7"/>
  <c r="G128" i="30"/>
  <c r="D129" i="30"/>
  <c r="E129" i="30"/>
  <c r="G129" i="28"/>
  <c r="D130" i="28"/>
  <c r="E130" i="28"/>
  <c r="G126" i="39"/>
  <c r="D127" i="39"/>
  <c r="E127" i="39" s="1"/>
  <c r="G137" i="7"/>
  <c r="D138" i="7"/>
  <c r="E138" i="7" s="1"/>
  <c r="G134" i="5"/>
  <c r="D135" i="5"/>
  <c r="E135" i="5" s="1"/>
  <c r="G136" i="9"/>
  <c r="D137" i="9"/>
  <c r="E137" i="9"/>
  <c r="G132" i="23"/>
  <c r="D133" i="23"/>
  <c r="E133" i="23"/>
  <c r="J134" i="8"/>
  <c r="G125" i="40"/>
  <c r="D126" i="40"/>
  <c r="E126" i="40"/>
  <c r="G129" i="31"/>
  <c r="D130" i="31"/>
  <c r="E130" i="31" s="1"/>
  <c r="G137" i="10"/>
  <c r="D138" i="10"/>
  <c r="E138" i="10"/>
  <c r="G135" i="6"/>
  <c r="D136" i="6"/>
  <c r="E136" i="6"/>
  <c r="G126" i="43"/>
  <c r="D127" i="43"/>
  <c r="E127" i="43"/>
  <c r="G134" i="4"/>
  <c r="D135" i="4"/>
  <c r="E135" i="4" s="1"/>
  <c r="G130" i="27"/>
  <c r="D131" i="27"/>
  <c r="E131" i="27"/>
  <c r="G135" i="8"/>
  <c r="D136" i="8"/>
  <c r="E136" i="8"/>
  <c r="G133" i="25"/>
  <c r="D134" i="25"/>
  <c r="E134" i="25" s="1"/>
  <c r="J125" i="43"/>
  <c r="J128" i="29"/>
  <c r="I127" i="46" l="1"/>
  <c r="H127" i="46"/>
  <c r="B128" i="46"/>
  <c r="F128" i="46"/>
  <c r="J126" i="47"/>
  <c r="G127" i="47"/>
  <c r="D128" i="47"/>
  <c r="E128" i="47"/>
  <c r="H127" i="45"/>
  <c r="D133" i="44"/>
  <c r="B133" i="44" s="1"/>
  <c r="F130" i="38"/>
  <c r="G130" i="38" s="1"/>
  <c r="E133" i="44"/>
  <c r="D129" i="45"/>
  <c r="E129" i="45"/>
  <c r="G128" i="45"/>
  <c r="J127" i="45"/>
  <c r="F130" i="42"/>
  <c r="D131" i="42" s="1"/>
  <c r="B131" i="42" s="1"/>
  <c r="F129" i="41"/>
  <c r="D130" i="41" s="1"/>
  <c r="B130" i="41" s="1"/>
  <c r="J129" i="38"/>
  <c r="I132" i="44"/>
  <c r="H132" i="44"/>
  <c r="J129" i="42"/>
  <c r="D131" i="38"/>
  <c r="B131" i="38" s="1"/>
  <c r="I134" i="4"/>
  <c r="H134" i="4"/>
  <c r="B138" i="10"/>
  <c r="F138" i="10"/>
  <c r="I129" i="31"/>
  <c r="H129" i="31"/>
  <c r="B135" i="5"/>
  <c r="F135" i="5"/>
  <c r="H137" i="7"/>
  <c r="I137" i="7"/>
  <c r="B129" i="30"/>
  <c r="F129" i="30"/>
  <c r="B134" i="22"/>
  <c r="F134" i="22"/>
  <c r="B127" i="37"/>
  <c r="F127" i="37"/>
  <c r="B135" i="3"/>
  <c r="F135" i="3"/>
  <c r="B136" i="8"/>
  <c r="F136" i="8"/>
  <c r="H130" i="27"/>
  <c r="I130" i="27"/>
  <c r="B136" i="6"/>
  <c r="F136" i="6"/>
  <c r="I137" i="10"/>
  <c r="H137" i="10"/>
  <c r="B137" i="9"/>
  <c r="F137" i="9"/>
  <c r="H134" i="5"/>
  <c r="I134" i="5"/>
  <c r="B130" i="28"/>
  <c r="F130" i="28"/>
  <c r="H128" i="30"/>
  <c r="I128" i="30"/>
  <c r="H133" i="22"/>
  <c r="I133" i="22"/>
  <c r="B137" i="11"/>
  <c r="F137" i="11"/>
  <c r="B130" i="29"/>
  <c r="F130" i="29"/>
  <c r="I126" i="37"/>
  <c r="H126" i="37"/>
  <c r="H135" i="8"/>
  <c r="I135" i="8"/>
  <c r="B127" i="43"/>
  <c r="F127" i="43"/>
  <c r="H135" i="6"/>
  <c r="I135" i="6"/>
  <c r="B126" i="40"/>
  <c r="F126" i="40"/>
  <c r="B133" i="23"/>
  <c r="F133" i="23"/>
  <c r="H136" i="9"/>
  <c r="I136" i="9"/>
  <c r="B127" i="39"/>
  <c r="F127" i="39"/>
  <c r="H129" i="28"/>
  <c r="I129" i="28"/>
  <c r="H136" i="11"/>
  <c r="I136" i="11"/>
  <c r="H129" i="29"/>
  <c r="I129" i="29"/>
  <c r="B132" i="24"/>
  <c r="F132" i="24"/>
  <c r="B131" i="27"/>
  <c r="F131" i="27"/>
  <c r="B134" i="25"/>
  <c r="F134" i="25"/>
  <c r="H133" i="25"/>
  <c r="I133" i="25"/>
  <c r="B135" i="4"/>
  <c r="F135" i="4"/>
  <c r="H126" i="43"/>
  <c r="I126" i="43"/>
  <c r="B130" i="31"/>
  <c r="F130" i="31"/>
  <c r="I125" i="40"/>
  <c r="H125" i="40"/>
  <c r="I132" i="23"/>
  <c r="H132" i="23"/>
  <c r="B138" i="7"/>
  <c r="F138" i="7"/>
  <c r="H126" i="39"/>
  <c r="I126" i="39"/>
  <c r="H134" i="3"/>
  <c r="I134" i="3"/>
  <c r="H131" i="24"/>
  <c r="I131" i="24"/>
  <c r="D129" i="46" l="1"/>
  <c r="G128" i="46"/>
  <c r="E129" i="46"/>
  <c r="B128" i="47"/>
  <c r="F128" i="47"/>
  <c r="H127" i="47"/>
  <c r="I127" i="47"/>
  <c r="J127" i="46"/>
  <c r="F133" i="44"/>
  <c r="D134" i="44" s="1"/>
  <c r="B134" i="44" s="1"/>
  <c r="G130" i="42"/>
  <c r="H130" i="42" s="1"/>
  <c r="F129" i="45"/>
  <c r="B129" i="45"/>
  <c r="E131" i="42"/>
  <c r="F131" i="42" s="1"/>
  <c r="H128" i="45"/>
  <c r="I128" i="45"/>
  <c r="G129" i="41"/>
  <c r="E130" i="41"/>
  <c r="F130" i="41" s="1"/>
  <c r="D131" i="41" s="1"/>
  <c r="B131" i="41" s="1"/>
  <c r="E131" i="38"/>
  <c r="F131" i="38" s="1"/>
  <c r="I130" i="38"/>
  <c r="H130" i="38"/>
  <c r="J137" i="7"/>
  <c r="J125" i="40"/>
  <c r="J128" i="30"/>
  <c r="J134" i="5"/>
  <c r="J126" i="39"/>
  <c r="G130" i="31"/>
  <c r="D131" i="31"/>
  <c r="E131" i="31" s="1"/>
  <c r="G135" i="4"/>
  <c r="D136" i="4"/>
  <c r="E136" i="4" s="1"/>
  <c r="G134" i="25"/>
  <c r="D135" i="25"/>
  <c r="E135" i="25" s="1"/>
  <c r="D133" i="24"/>
  <c r="G132" i="24"/>
  <c r="E133" i="24"/>
  <c r="G127" i="39"/>
  <c r="D128" i="39"/>
  <c r="E128" i="39" s="1"/>
  <c r="G133" i="23"/>
  <c r="D134" i="23"/>
  <c r="E134" i="23"/>
  <c r="J135" i="6"/>
  <c r="J135" i="8"/>
  <c r="G130" i="29"/>
  <c r="D131" i="29"/>
  <c r="E131" i="29" s="1"/>
  <c r="G130" i="28"/>
  <c r="D131" i="28"/>
  <c r="E131" i="28"/>
  <c r="D138" i="9"/>
  <c r="E138" i="9" s="1"/>
  <c r="G137" i="9"/>
  <c r="G136" i="6"/>
  <c r="D137" i="6"/>
  <c r="E137" i="6"/>
  <c r="G136" i="8"/>
  <c r="D137" i="8"/>
  <c r="E137" i="8" s="1"/>
  <c r="G127" i="37"/>
  <c r="D128" i="37"/>
  <c r="E128" i="37" s="1"/>
  <c r="G129" i="30"/>
  <c r="D130" i="30"/>
  <c r="E130" i="30" s="1"/>
  <c r="G135" i="5"/>
  <c r="D136" i="5"/>
  <c r="E136" i="5" s="1"/>
  <c r="G138" i="10"/>
  <c r="D139" i="10"/>
  <c r="E139" i="10" s="1"/>
  <c r="J134" i="3"/>
  <c r="G138" i="7"/>
  <c r="D139" i="7"/>
  <c r="E139" i="7" s="1"/>
  <c r="J126" i="43"/>
  <c r="G131" i="27"/>
  <c r="D132" i="27"/>
  <c r="E132" i="27" s="1"/>
  <c r="J129" i="29"/>
  <c r="J129" i="28"/>
  <c r="G126" i="40"/>
  <c r="D127" i="40"/>
  <c r="E127" i="40"/>
  <c r="G127" i="43"/>
  <c r="D128" i="43"/>
  <c r="E128" i="43" s="1"/>
  <c r="D138" i="11"/>
  <c r="E138" i="11" s="1"/>
  <c r="G137" i="11"/>
  <c r="J130" i="27"/>
  <c r="G135" i="3"/>
  <c r="D136" i="3"/>
  <c r="E136" i="3"/>
  <c r="G134" i="22"/>
  <c r="D135" i="22"/>
  <c r="E135" i="22" s="1"/>
  <c r="J126" i="37"/>
  <c r="J137" i="10"/>
  <c r="J129" i="31"/>
  <c r="J134" i="4"/>
  <c r="J127" i="47" l="1"/>
  <c r="I128" i="46"/>
  <c r="H128" i="46"/>
  <c r="D129" i="47"/>
  <c r="E129" i="47" s="1"/>
  <c r="G128" i="47"/>
  <c r="B129" i="46"/>
  <c r="F129" i="46"/>
  <c r="G133" i="44"/>
  <c r="I133" i="44" s="1"/>
  <c r="I130" i="42"/>
  <c r="E134" i="44"/>
  <c r="F134" i="44" s="1"/>
  <c r="D135" i="44" s="1"/>
  <c r="B135" i="44" s="1"/>
  <c r="J128" i="45"/>
  <c r="E130" i="45"/>
  <c r="D130" i="45"/>
  <c r="B130" i="45" s="1"/>
  <c r="G129" i="45"/>
  <c r="E131" i="41"/>
  <c r="F131" i="41" s="1"/>
  <c r="D132" i="41" s="1"/>
  <c r="B132" i="41" s="1"/>
  <c r="G130" i="41"/>
  <c r="I130" i="41" s="1"/>
  <c r="I129" i="41"/>
  <c r="H129" i="41"/>
  <c r="D132" i="38"/>
  <c r="B132" i="38" s="1"/>
  <c r="G131" i="38"/>
  <c r="I131" i="38" s="1"/>
  <c r="J130" i="38"/>
  <c r="J155" i="38" s="1"/>
  <c r="G131" i="42"/>
  <c r="D132" i="42"/>
  <c r="J130" i="42"/>
  <c r="J155" i="42" s="1"/>
  <c r="B136" i="3"/>
  <c r="F136" i="3"/>
  <c r="H127" i="43"/>
  <c r="I127" i="43"/>
  <c r="H131" i="27"/>
  <c r="I131" i="27"/>
  <c r="B128" i="37"/>
  <c r="F128" i="37"/>
  <c r="H136" i="8"/>
  <c r="I136" i="8"/>
  <c r="B134" i="23"/>
  <c r="F134" i="23"/>
  <c r="I127" i="39"/>
  <c r="H127" i="39"/>
  <c r="B135" i="22"/>
  <c r="F135" i="22"/>
  <c r="H135" i="3"/>
  <c r="I135" i="3"/>
  <c r="B130" i="30"/>
  <c r="F130" i="30"/>
  <c r="H137" i="9"/>
  <c r="I137" i="9"/>
  <c r="H133" i="23"/>
  <c r="I133" i="23"/>
  <c r="B135" i="25"/>
  <c r="F135" i="25"/>
  <c r="I135" i="4"/>
  <c r="H135" i="4"/>
  <c r="I134" i="22"/>
  <c r="H134" i="22"/>
  <c r="B127" i="40"/>
  <c r="F127" i="40"/>
  <c r="B136" i="5"/>
  <c r="F136" i="5"/>
  <c r="H129" i="30"/>
  <c r="I129" i="30"/>
  <c r="B137" i="6"/>
  <c r="F137" i="6"/>
  <c r="B138" i="9"/>
  <c r="F138" i="9"/>
  <c r="H132" i="24"/>
  <c r="I132" i="24"/>
  <c r="I134" i="25"/>
  <c r="H134" i="25"/>
  <c r="I137" i="11"/>
  <c r="H137" i="11"/>
  <c r="H138" i="7"/>
  <c r="I138" i="7"/>
  <c r="H138" i="10"/>
  <c r="I138" i="10"/>
  <c r="B131" i="28"/>
  <c r="F131" i="28"/>
  <c r="H130" i="29"/>
  <c r="I130" i="29"/>
  <c r="B136" i="4"/>
  <c r="F136" i="4"/>
  <c r="H130" i="31"/>
  <c r="I130" i="31"/>
  <c r="B138" i="11"/>
  <c r="F138" i="11"/>
  <c r="H127" i="37"/>
  <c r="I127" i="37"/>
  <c r="H130" i="28"/>
  <c r="I130" i="28"/>
  <c r="B128" i="43"/>
  <c r="F128" i="43"/>
  <c r="H126" i="40"/>
  <c r="I126" i="40"/>
  <c r="B132" i="27"/>
  <c r="F132" i="27"/>
  <c r="B139" i="7"/>
  <c r="F139" i="7"/>
  <c r="B139" i="10"/>
  <c r="F139" i="10"/>
  <c r="I135" i="5"/>
  <c r="H135" i="5"/>
  <c r="B137" i="8"/>
  <c r="F137" i="8"/>
  <c r="H136" i="6"/>
  <c r="I136" i="6"/>
  <c r="B131" i="29"/>
  <c r="F131" i="29"/>
  <c r="B128" i="39"/>
  <c r="F128" i="39"/>
  <c r="B133" i="24"/>
  <c r="F133" i="24"/>
  <c r="B131" i="31"/>
  <c r="F131" i="31"/>
  <c r="H133" i="44" l="1"/>
  <c r="J128" i="46"/>
  <c r="G129" i="46"/>
  <c r="D130" i="46"/>
  <c r="E130" i="46"/>
  <c r="B129" i="47"/>
  <c r="F129" i="47"/>
  <c r="H128" i="47"/>
  <c r="I128" i="47"/>
  <c r="H130" i="41"/>
  <c r="J130" i="41" s="1"/>
  <c r="E135" i="44"/>
  <c r="F135" i="44" s="1"/>
  <c r="D136" i="44" s="1"/>
  <c r="B136" i="44" s="1"/>
  <c r="G134" i="44"/>
  <c r="H134" i="44" s="1"/>
  <c r="F130" i="45"/>
  <c r="I129" i="45"/>
  <c r="H129" i="45"/>
  <c r="J129" i="41"/>
  <c r="H131" i="38"/>
  <c r="E132" i="38"/>
  <c r="F132" i="38" s="1"/>
  <c r="D133" i="38" s="1"/>
  <c r="G135" i="44"/>
  <c r="H135" i="44" s="1"/>
  <c r="G131" i="41"/>
  <c r="H131" i="41" s="1"/>
  <c r="E132" i="41"/>
  <c r="F132" i="41" s="1"/>
  <c r="G132" i="41" s="1"/>
  <c r="E132" i="42"/>
  <c r="F132" i="42" s="1"/>
  <c r="B132" i="42"/>
  <c r="H131" i="42"/>
  <c r="I131" i="42"/>
  <c r="J127" i="43"/>
  <c r="J136" i="6"/>
  <c r="J126" i="40"/>
  <c r="J130" i="28"/>
  <c r="J138" i="7"/>
  <c r="J129" i="30"/>
  <c r="J127" i="39"/>
  <c r="G139" i="7"/>
  <c r="D140" i="7"/>
  <c r="E140" i="7" s="1"/>
  <c r="G138" i="11"/>
  <c r="D139" i="11"/>
  <c r="E139" i="11" s="1"/>
  <c r="G136" i="4"/>
  <c r="D137" i="4"/>
  <c r="E137" i="4"/>
  <c r="G131" i="28"/>
  <c r="D132" i="28"/>
  <c r="E132" i="28"/>
  <c r="G138" i="9"/>
  <c r="D139" i="9"/>
  <c r="E139" i="9" s="1"/>
  <c r="G127" i="40"/>
  <c r="D128" i="40"/>
  <c r="E128" i="40"/>
  <c r="G130" i="30"/>
  <c r="D131" i="30"/>
  <c r="E131" i="30"/>
  <c r="G135" i="22"/>
  <c r="D136" i="22"/>
  <c r="E136" i="22"/>
  <c r="G134" i="23"/>
  <c r="D135" i="23"/>
  <c r="E135" i="23" s="1"/>
  <c r="G128" i="37"/>
  <c r="D129" i="37"/>
  <c r="E129" i="37"/>
  <c r="G131" i="31"/>
  <c r="D132" i="31"/>
  <c r="E132" i="31"/>
  <c r="G128" i="39"/>
  <c r="D129" i="39"/>
  <c r="E129" i="39" s="1"/>
  <c r="J135" i="5"/>
  <c r="J135" i="4"/>
  <c r="G133" i="24"/>
  <c r="D134" i="24"/>
  <c r="E134" i="24" s="1"/>
  <c r="G131" i="29"/>
  <c r="D132" i="29"/>
  <c r="E132" i="29" s="1"/>
  <c r="G137" i="8"/>
  <c r="D138" i="8"/>
  <c r="E138" i="8" s="1"/>
  <c r="G139" i="10"/>
  <c r="D140" i="10"/>
  <c r="E140" i="10" s="1"/>
  <c r="G132" i="27"/>
  <c r="D133" i="27"/>
  <c r="E133" i="27" s="1"/>
  <c r="G128" i="43"/>
  <c r="D129" i="43"/>
  <c r="E129" i="43"/>
  <c r="J127" i="37"/>
  <c r="J130" i="31"/>
  <c r="J130" i="29"/>
  <c r="J138" i="10"/>
  <c r="G137" i="6"/>
  <c r="D138" i="6"/>
  <c r="E138" i="6" s="1"/>
  <c r="G136" i="5"/>
  <c r="D137" i="5"/>
  <c r="E137" i="5" s="1"/>
  <c r="G135" i="25"/>
  <c r="D136" i="25"/>
  <c r="E136" i="25"/>
  <c r="J135" i="3"/>
  <c r="J136" i="8"/>
  <c r="J131" i="27"/>
  <c r="G136" i="3"/>
  <c r="D137" i="3"/>
  <c r="E137" i="3" s="1"/>
  <c r="J128" i="47" l="1"/>
  <c r="E136" i="44"/>
  <c r="F136" i="44" s="1"/>
  <c r="B130" i="46"/>
  <c r="F130" i="46"/>
  <c r="D130" i="47"/>
  <c r="E130" i="47" s="1"/>
  <c r="G129" i="47"/>
  <c r="I129" i="46"/>
  <c r="H129" i="46"/>
  <c r="I134" i="44"/>
  <c r="J129" i="45"/>
  <c r="J155" i="41"/>
  <c r="G130" i="45"/>
  <c r="E131" i="45"/>
  <c r="D131" i="45"/>
  <c r="I131" i="41"/>
  <c r="I135" i="44"/>
  <c r="G132" i="38"/>
  <c r="H132" i="38" s="1"/>
  <c r="D137" i="44"/>
  <c r="G136" i="44"/>
  <c r="D133" i="41"/>
  <c r="B133" i="41" s="1"/>
  <c r="D133" i="42"/>
  <c r="G132" i="42"/>
  <c r="E133" i="38"/>
  <c r="F133" i="38" s="1"/>
  <c r="B133" i="38"/>
  <c r="I132" i="41"/>
  <c r="H132" i="41"/>
  <c r="E133" i="41"/>
  <c r="B136" i="25"/>
  <c r="F136" i="25"/>
  <c r="H136" i="5"/>
  <c r="I136" i="5"/>
  <c r="B133" i="27"/>
  <c r="F133" i="27"/>
  <c r="H139" i="10"/>
  <c r="I139" i="10"/>
  <c r="B134" i="24"/>
  <c r="F134" i="24"/>
  <c r="B132" i="31"/>
  <c r="F132" i="31"/>
  <c r="H128" i="37"/>
  <c r="I128" i="37"/>
  <c r="B131" i="30"/>
  <c r="F131" i="30"/>
  <c r="H127" i="40"/>
  <c r="I127" i="40"/>
  <c r="B137" i="4"/>
  <c r="F137" i="4"/>
  <c r="I138" i="11"/>
  <c r="H138" i="11"/>
  <c r="H135" i="25"/>
  <c r="I135" i="25"/>
  <c r="B129" i="43"/>
  <c r="F129" i="43"/>
  <c r="I132" i="27"/>
  <c r="H132" i="27"/>
  <c r="B132" i="29"/>
  <c r="F132" i="29"/>
  <c r="H133" i="24"/>
  <c r="I133" i="24"/>
  <c r="B129" i="39"/>
  <c r="F129" i="39"/>
  <c r="I131" i="31"/>
  <c r="H131" i="31"/>
  <c r="B136" i="22"/>
  <c r="F136" i="22"/>
  <c r="I130" i="30"/>
  <c r="H130" i="30"/>
  <c r="B132" i="28"/>
  <c r="F132" i="28"/>
  <c r="H136" i="4"/>
  <c r="I136" i="4"/>
  <c r="B138" i="6"/>
  <c r="F138" i="6"/>
  <c r="I128" i="43"/>
  <c r="H128" i="43"/>
  <c r="B138" i="8"/>
  <c r="F138" i="8"/>
  <c r="I131" i="29"/>
  <c r="H131" i="29"/>
  <c r="H128" i="39"/>
  <c r="I128" i="39"/>
  <c r="B135" i="23"/>
  <c r="F135" i="23"/>
  <c r="H135" i="22"/>
  <c r="I135" i="22"/>
  <c r="B139" i="9"/>
  <c r="F139" i="9"/>
  <c r="I131" i="28"/>
  <c r="H131" i="28"/>
  <c r="B140" i="7"/>
  <c r="F140" i="7"/>
  <c r="B137" i="3"/>
  <c r="F137" i="3"/>
  <c r="H136" i="3"/>
  <c r="I136" i="3"/>
  <c r="B137" i="5"/>
  <c r="F137" i="5"/>
  <c r="H137" i="6"/>
  <c r="I137" i="6"/>
  <c r="B140" i="10"/>
  <c r="F140" i="10"/>
  <c r="H137" i="8"/>
  <c r="I137" i="8"/>
  <c r="B129" i="37"/>
  <c r="F129" i="37"/>
  <c r="H134" i="23"/>
  <c r="I134" i="23"/>
  <c r="B128" i="40"/>
  <c r="F128" i="40"/>
  <c r="I138" i="9"/>
  <c r="H138" i="9"/>
  <c r="B139" i="11"/>
  <c r="F139" i="11"/>
  <c r="H139" i="7"/>
  <c r="I139" i="7"/>
  <c r="F130" i="47" l="1"/>
  <c r="B130" i="47"/>
  <c r="J129" i="46"/>
  <c r="G130" i="46"/>
  <c r="E131" i="46"/>
  <c r="D131" i="46"/>
  <c r="H129" i="47"/>
  <c r="I129" i="47"/>
  <c r="J129" i="47" s="1"/>
  <c r="I130" i="45"/>
  <c r="H130" i="45"/>
  <c r="F131" i="45"/>
  <c r="B131" i="45"/>
  <c r="I132" i="38"/>
  <c r="I136" i="44"/>
  <c r="H136" i="44"/>
  <c r="F133" i="41"/>
  <c r="G133" i="41" s="1"/>
  <c r="E137" i="44"/>
  <c r="F137" i="44" s="1"/>
  <c r="B137" i="44"/>
  <c r="D134" i="38"/>
  <c r="G133" i="38"/>
  <c r="I132" i="42"/>
  <c r="H132" i="42"/>
  <c r="E133" i="42"/>
  <c r="F133" i="42" s="1"/>
  <c r="B133" i="42"/>
  <c r="J131" i="29"/>
  <c r="J128" i="43"/>
  <c r="J130" i="30"/>
  <c r="J131" i="31"/>
  <c r="J131" i="28"/>
  <c r="J132" i="27"/>
  <c r="J139" i="7"/>
  <c r="J137" i="8"/>
  <c r="J137" i="6"/>
  <c r="J136" i="3"/>
  <c r="D141" i="7"/>
  <c r="E141" i="7" s="1"/>
  <c r="G140" i="7"/>
  <c r="G139" i="9"/>
  <c r="D140" i="9"/>
  <c r="E140" i="9" s="1"/>
  <c r="G135" i="23"/>
  <c r="D136" i="23"/>
  <c r="E136" i="23"/>
  <c r="J136" i="4"/>
  <c r="G137" i="4"/>
  <c r="D138" i="4"/>
  <c r="E138" i="4"/>
  <c r="G131" i="30"/>
  <c r="D132" i="30"/>
  <c r="E132" i="30"/>
  <c r="G132" i="31"/>
  <c r="D133" i="31"/>
  <c r="E133" i="31" s="1"/>
  <c r="J139" i="10"/>
  <c r="J136" i="5"/>
  <c r="G139" i="11"/>
  <c r="D140" i="11"/>
  <c r="E140" i="11"/>
  <c r="G128" i="40"/>
  <c r="D129" i="40"/>
  <c r="E129" i="40" s="1"/>
  <c r="G129" i="37"/>
  <c r="D130" i="37"/>
  <c r="E130" i="37" s="1"/>
  <c r="G140" i="10"/>
  <c r="D141" i="10"/>
  <c r="E141" i="10" s="1"/>
  <c r="G137" i="5"/>
  <c r="D138" i="5"/>
  <c r="E138" i="5"/>
  <c r="G137" i="3"/>
  <c r="D138" i="3"/>
  <c r="E138" i="3" s="1"/>
  <c r="J128" i="39"/>
  <c r="G138" i="8"/>
  <c r="D139" i="8"/>
  <c r="E139" i="8" s="1"/>
  <c r="G138" i="6"/>
  <c r="D139" i="6"/>
  <c r="E139" i="6" s="1"/>
  <c r="G132" i="28"/>
  <c r="D133" i="28"/>
  <c r="E133" i="28"/>
  <c r="G136" i="22"/>
  <c r="D137" i="22"/>
  <c r="E137" i="22" s="1"/>
  <c r="G129" i="39"/>
  <c r="D130" i="39"/>
  <c r="E130" i="39" s="1"/>
  <c r="G132" i="29"/>
  <c r="D133" i="29"/>
  <c r="E133" i="29" s="1"/>
  <c r="G129" i="43"/>
  <c r="D130" i="43"/>
  <c r="E130" i="43"/>
  <c r="J127" i="40"/>
  <c r="J128" i="37"/>
  <c r="G134" i="24"/>
  <c r="D135" i="24"/>
  <c r="E135" i="24" s="1"/>
  <c r="G133" i="27"/>
  <c r="D134" i="27"/>
  <c r="E134" i="27"/>
  <c r="G136" i="25"/>
  <c r="D137" i="25"/>
  <c r="E137" i="25"/>
  <c r="I130" i="46" l="1"/>
  <c r="H130" i="46"/>
  <c r="B131" i="46"/>
  <c r="F131" i="46"/>
  <c r="D131" i="47"/>
  <c r="G130" i="47"/>
  <c r="E131" i="47"/>
  <c r="E132" i="45"/>
  <c r="D132" i="45"/>
  <c r="G131" i="45"/>
  <c r="J130" i="45"/>
  <c r="J155" i="45" s="1"/>
  <c r="D134" i="41"/>
  <c r="B134" i="41" s="1"/>
  <c r="D138" i="44"/>
  <c r="B138" i="44" s="1"/>
  <c r="G137" i="44"/>
  <c r="G133" i="42"/>
  <c r="D134" i="42"/>
  <c r="I133" i="41"/>
  <c r="H133" i="41"/>
  <c r="I133" i="38"/>
  <c r="H133" i="38"/>
  <c r="E134" i="41"/>
  <c r="E134" i="38"/>
  <c r="F134" i="38" s="1"/>
  <c r="B134" i="38"/>
  <c r="B130" i="43"/>
  <c r="F130" i="43"/>
  <c r="H132" i="29"/>
  <c r="I132" i="29"/>
  <c r="B133" i="28"/>
  <c r="F133" i="28"/>
  <c r="H138" i="6"/>
  <c r="I138" i="6"/>
  <c r="B141" i="10"/>
  <c r="F141" i="10"/>
  <c r="H129" i="37"/>
  <c r="I129" i="37"/>
  <c r="B138" i="4"/>
  <c r="F138" i="4"/>
  <c r="B136" i="23"/>
  <c r="F136" i="23"/>
  <c r="I139" i="9"/>
  <c r="H139" i="9"/>
  <c r="B134" i="27"/>
  <c r="F134" i="27"/>
  <c r="B137" i="25"/>
  <c r="F137" i="25"/>
  <c r="H133" i="27"/>
  <c r="I133" i="27"/>
  <c r="I129" i="43"/>
  <c r="H129" i="43"/>
  <c r="B137" i="22"/>
  <c r="F137" i="22"/>
  <c r="H132" i="28"/>
  <c r="I132" i="28"/>
  <c r="B138" i="5"/>
  <c r="F138" i="5"/>
  <c r="H140" i="10"/>
  <c r="I140" i="10"/>
  <c r="B140" i="11"/>
  <c r="F140" i="11"/>
  <c r="B132" i="30"/>
  <c r="F132" i="30"/>
  <c r="H137" i="4"/>
  <c r="I137" i="4"/>
  <c r="I135" i="23"/>
  <c r="H135" i="23"/>
  <c r="H134" i="24"/>
  <c r="I134" i="24"/>
  <c r="H136" i="25"/>
  <c r="I136" i="25"/>
  <c r="B130" i="39"/>
  <c r="F130" i="39"/>
  <c r="H136" i="22"/>
  <c r="I136" i="22"/>
  <c r="B139" i="8"/>
  <c r="F139" i="8"/>
  <c r="B138" i="3"/>
  <c r="F138" i="3"/>
  <c r="H137" i="5"/>
  <c r="I137" i="5"/>
  <c r="B129" i="40"/>
  <c r="F129" i="40"/>
  <c r="H139" i="11"/>
  <c r="I139" i="11"/>
  <c r="B133" i="31"/>
  <c r="F133" i="31"/>
  <c r="H131" i="30"/>
  <c r="I131" i="30"/>
  <c r="H140" i="7"/>
  <c r="I140" i="7"/>
  <c r="B135" i="24"/>
  <c r="F135" i="24"/>
  <c r="B133" i="29"/>
  <c r="F133" i="29"/>
  <c r="H129" i="39"/>
  <c r="I129" i="39"/>
  <c r="B139" i="6"/>
  <c r="F139" i="6"/>
  <c r="H138" i="8"/>
  <c r="I138" i="8"/>
  <c r="H137" i="3"/>
  <c r="I137" i="3"/>
  <c r="B130" i="37"/>
  <c r="F130" i="37"/>
  <c r="H128" i="40"/>
  <c r="I128" i="40"/>
  <c r="H132" i="31"/>
  <c r="I132" i="31"/>
  <c r="B140" i="9"/>
  <c r="F140" i="9"/>
  <c r="B141" i="7"/>
  <c r="F141" i="7"/>
  <c r="D132" i="46" l="1"/>
  <c r="G131" i="46"/>
  <c r="E132" i="46"/>
  <c r="I130" i="47"/>
  <c r="J130" i="47" s="1"/>
  <c r="J155" i="47" s="1"/>
  <c r="H130" i="47"/>
  <c r="F131" i="47"/>
  <c r="B131" i="47"/>
  <c r="J130" i="46"/>
  <c r="J155" i="46" s="1"/>
  <c r="F134" i="41"/>
  <c r="I131" i="45"/>
  <c r="H131" i="45"/>
  <c r="B132" i="45"/>
  <c r="F132" i="45"/>
  <c r="E138" i="44"/>
  <c r="F138" i="44" s="1"/>
  <c r="I137" i="44"/>
  <c r="H137" i="44"/>
  <c r="G134" i="41"/>
  <c r="D135" i="41"/>
  <c r="D135" i="38"/>
  <c r="G134" i="38"/>
  <c r="E134" i="42"/>
  <c r="F134" i="42" s="1"/>
  <c r="B134" i="42"/>
  <c r="I133" i="42"/>
  <c r="H133" i="42"/>
  <c r="J129" i="37"/>
  <c r="J138" i="6"/>
  <c r="J132" i="29"/>
  <c r="J129" i="43"/>
  <c r="G141" i="7"/>
  <c r="D142" i="7"/>
  <c r="E142" i="7" s="1"/>
  <c r="J132" i="31"/>
  <c r="G130" i="37"/>
  <c r="D131" i="37"/>
  <c r="E131" i="37" s="1"/>
  <c r="J138" i="8"/>
  <c r="J129" i="39"/>
  <c r="G135" i="24"/>
  <c r="D136" i="24"/>
  <c r="E136" i="24" s="1"/>
  <c r="J131" i="30"/>
  <c r="J137" i="5"/>
  <c r="G139" i="8"/>
  <c r="D140" i="8"/>
  <c r="E140" i="8" s="1"/>
  <c r="G130" i="39"/>
  <c r="D131" i="39"/>
  <c r="E131" i="39" s="1"/>
  <c r="J137" i="4"/>
  <c r="G140" i="11"/>
  <c r="D141" i="11"/>
  <c r="E141" i="11" s="1"/>
  <c r="G138" i="5"/>
  <c r="D139" i="5"/>
  <c r="E139" i="5" s="1"/>
  <c r="G137" i="22"/>
  <c r="D138" i="22"/>
  <c r="E138" i="22" s="1"/>
  <c r="J133" i="27"/>
  <c r="G134" i="27"/>
  <c r="D135" i="27"/>
  <c r="E135" i="27" s="1"/>
  <c r="G136" i="23"/>
  <c r="D137" i="23"/>
  <c r="E137" i="23"/>
  <c r="G140" i="9"/>
  <c r="D141" i="9"/>
  <c r="E141" i="9" s="1"/>
  <c r="J128" i="40"/>
  <c r="J137" i="3"/>
  <c r="G139" i="6"/>
  <c r="D140" i="6"/>
  <c r="E140" i="6" s="1"/>
  <c r="G133" i="29"/>
  <c r="D134" i="29"/>
  <c r="E134" i="29" s="1"/>
  <c r="J140" i="7"/>
  <c r="G133" i="31"/>
  <c r="D134" i="31"/>
  <c r="E134" i="31" s="1"/>
  <c r="G129" i="40"/>
  <c r="D130" i="40"/>
  <c r="E130" i="40" s="1"/>
  <c r="G138" i="3"/>
  <c r="D139" i="3"/>
  <c r="E139" i="3" s="1"/>
  <c r="G132" i="30"/>
  <c r="D133" i="30"/>
  <c r="E133" i="30" s="1"/>
  <c r="J140" i="10"/>
  <c r="J132" i="28"/>
  <c r="G137" i="25"/>
  <c r="D138" i="25"/>
  <c r="E138" i="25"/>
  <c r="G138" i="4"/>
  <c r="D139" i="4"/>
  <c r="E139" i="4" s="1"/>
  <c r="G141" i="10"/>
  <c r="D142" i="10"/>
  <c r="E142" i="10" s="1"/>
  <c r="G133" i="28"/>
  <c r="D134" i="28"/>
  <c r="E134" i="28"/>
  <c r="G130" i="43"/>
  <c r="D131" i="43"/>
  <c r="E131" i="43" s="1"/>
  <c r="G131" i="47" l="1"/>
  <c r="D132" i="47"/>
  <c r="E132" i="47"/>
  <c r="I131" i="46"/>
  <c r="H131" i="46"/>
  <c r="B132" i="46"/>
  <c r="F132" i="46"/>
  <c r="D133" i="45"/>
  <c r="E133" i="45"/>
  <c r="G132" i="45"/>
  <c r="E139" i="44"/>
  <c r="D139" i="44"/>
  <c r="B139" i="44" s="1"/>
  <c r="G138" i="44"/>
  <c r="I138" i="44" s="1"/>
  <c r="I134" i="38"/>
  <c r="H134" i="38"/>
  <c r="D135" i="42"/>
  <c r="G134" i="42"/>
  <c r="E135" i="38"/>
  <c r="F135" i="38" s="1"/>
  <c r="B135" i="38"/>
  <c r="E135" i="41"/>
  <c r="F135" i="41" s="1"/>
  <c r="B135" i="41"/>
  <c r="I134" i="41"/>
  <c r="H134" i="41"/>
  <c r="B139" i="4"/>
  <c r="F139" i="4"/>
  <c r="H137" i="25"/>
  <c r="I137" i="25"/>
  <c r="B133" i="30"/>
  <c r="F133" i="30"/>
  <c r="I138" i="3"/>
  <c r="H138" i="3"/>
  <c r="B140" i="6"/>
  <c r="F140" i="6"/>
  <c r="B137" i="23"/>
  <c r="F137" i="23"/>
  <c r="I134" i="27"/>
  <c r="H134" i="27"/>
  <c r="I137" i="22"/>
  <c r="H137" i="22"/>
  <c r="B140" i="8"/>
  <c r="F140" i="8"/>
  <c r="B142" i="10"/>
  <c r="F142" i="10"/>
  <c r="I138" i="4"/>
  <c r="H138" i="4"/>
  <c r="H132" i="30"/>
  <c r="I132" i="30"/>
  <c r="B134" i="31"/>
  <c r="F134" i="31"/>
  <c r="B134" i="29"/>
  <c r="F134" i="29"/>
  <c r="H139" i="6"/>
  <c r="I139" i="6"/>
  <c r="B141" i="9"/>
  <c r="F141" i="9"/>
  <c r="I136" i="23"/>
  <c r="H136" i="23"/>
  <c r="B141" i="11"/>
  <c r="F141" i="11"/>
  <c r="B131" i="39"/>
  <c r="F131" i="39"/>
  <c r="H139" i="8"/>
  <c r="I139" i="8"/>
  <c r="B136" i="24"/>
  <c r="F136" i="24"/>
  <c r="B134" i="28"/>
  <c r="F134" i="28"/>
  <c r="H141" i="10"/>
  <c r="I141" i="10"/>
  <c r="B130" i="40"/>
  <c r="F130" i="40"/>
  <c r="I133" i="31"/>
  <c r="H133" i="31"/>
  <c r="H133" i="29"/>
  <c r="I133" i="29"/>
  <c r="I140" i="9"/>
  <c r="H140" i="9"/>
  <c r="B139" i="5"/>
  <c r="F139" i="5"/>
  <c r="H140" i="11"/>
  <c r="I140" i="11"/>
  <c r="H130" i="39"/>
  <c r="I130" i="39"/>
  <c r="I135" i="24"/>
  <c r="H135" i="24"/>
  <c r="B131" i="37"/>
  <c r="F131" i="37"/>
  <c r="B142" i="7"/>
  <c r="F142" i="7"/>
  <c r="H130" i="43"/>
  <c r="I130" i="43"/>
  <c r="B131" i="43"/>
  <c r="F131" i="43"/>
  <c r="I133" i="28"/>
  <c r="H133" i="28"/>
  <c r="B138" i="25"/>
  <c r="F138" i="25"/>
  <c r="B139" i="3"/>
  <c r="F139" i="3"/>
  <c r="I129" i="40"/>
  <c r="H129" i="40"/>
  <c r="B135" i="27"/>
  <c r="F135" i="27"/>
  <c r="B138" i="22"/>
  <c r="F138" i="22"/>
  <c r="I138" i="5"/>
  <c r="H138" i="5"/>
  <c r="H130" i="37"/>
  <c r="I130" i="37"/>
  <c r="H141" i="7"/>
  <c r="I141" i="7"/>
  <c r="D133" i="46" l="1"/>
  <c r="G132" i="46"/>
  <c r="E133" i="46"/>
  <c r="B132" i="47"/>
  <c r="F132" i="47"/>
  <c r="H131" i="47"/>
  <c r="I131" i="47"/>
  <c r="I132" i="45"/>
  <c r="H132" i="45"/>
  <c r="F139" i="44"/>
  <c r="D140" i="44" s="1"/>
  <c r="B140" i="44" s="1"/>
  <c r="F133" i="45"/>
  <c r="B133" i="45"/>
  <c r="H138" i="44"/>
  <c r="D136" i="41"/>
  <c r="G135" i="41"/>
  <c r="E135" i="42"/>
  <c r="F135" i="42" s="1"/>
  <c r="B135" i="42"/>
  <c r="G135" i="38"/>
  <c r="D136" i="38"/>
  <c r="I134" i="42"/>
  <c r="H134" i="42"/>
  <c r="J138" i="5"/>
  <c r="J133" i="28"/>
  <c r="J130" i="37"/>
  <c r="J155" i="37" s="1"/>
  <c r="J141" i="10"/>
  <c r="J139" i="6"/>
  <c r="J138" i="3"/>
  <c r="G138" i="22"/>
  <c r="D139" i="22"/>
  <c r="E139" i="22" s="1"/>
  <c r="G138" i="25"/>
  <c r="D139" i="25"/>
  <c r="E139" i="25"/>
  <c r="G142" i="7"/>
  <c r="D143" i="7"/>
  <c r="E143" i="7" s="1"/>
  <c r="G136" i="24"/>
  <c r="D137" i="24"/>
  <c r="E137" i="24" s="1"/>
  <c r="G131" i="39"/>
  <c r="D132" i="39"/>
  <c r="E132" i="39" s="1"/>
  <c r="G134" i="31"/>
  <c r="D135" i="31"/>
  <c r="E135" i="31" s="1"/>
  <c r="G140" i="8"/>
  <c r="D141" i="8"/>
  <c r="E141" i="8" s="1"/>
  <c r="G140" i="6"/>
  <c r="D141" i="6"/>
  <c r="E141" i="6" s="1"/>
  <c r="G133" i="30"/>
  <c r="D134" i="30"/>
  <c r="E134" i="30" s="1"/>
  <c r="J138" i="4"/>
  <c r="J134" i="27"/>
  <c r="J141" i="7"/>
  <c r="G135" i="27"/>
  <c r="D136" i="27"/>
  <c r="E136" i="27" s="1"/>
  <c r="G139" i="3"/>
  <c r="D140" i="3"/>
  <c r="E140" i="3" s="1"/>
  <c r="J130" i="43"/>
  <c r="J155" i="43" s="1"/>
  <c r="G131" i="37"/>
  <c r="D132" i="37"/>
  <c r="E132" i="37" s="1"/>
  <c r="J130" i="39"/>
  <c r="J155" i="39" s="1"/>
  <c r="G139" i="5"/>
  <c r="D140" i="5"/>
  <c r="E140" i="5" s="1"/>
  <c r="J133" i="29"/>
  <c r="G130" i="40"/>
  <c r="D131" i="40"/>
  <c r="E131" i="40" s="1"/>
  <c r="G134" i="28"/>
  <c r="D135" i="28"/>
  <c r="E135" i="28"/>
  <c r="J139" i="8"/>
  <c r="G141" i="11"/>
  <c r="D142" i="11"/>
  <c r="E142" i="11"/>
  <c r="G141" i="9"/>
  <c r="D142" i="9"/>
  <c r="E142" i="9" s="1"/>
  <c r="G134" i="29"/>
  <c r="D135" i="29"/>
  <c r="E135" i="29" s="1"/>
  <c r="J132" i="30"/>
  <c r="G142" i="10"/>
  <c r="D143" i="10"/>
  <c r="E143" i="10" s="1"/>
  <c r="G137" i="23"/>
  <c r="D138" i="23"/>
  <c r="E138" i="23" s="1"/>
  <c r="G131" i="43"/>
  <c r="D132" i="43"/>
  <c r="E132" i="43" s="1"/>
  <c r="G139" i="4"/>
  <c r="D140" i="4"/>
  <c r="E140" i="4" s="1"/>
  <c r="J129" i="40"/>
  <c r="J133" i="31"/>
  <c r="I132" i="46" l="1"/>
  <c r="H132" i="46"/>
  <c r="G132" i="47"/>
  <c r="D133" i="47"/>
  <c r="E133" i="47" s="1"/>
  <c r="F133" i="46"/>
  <c r="B133" i="46"/>
  <c r="G139" i="44"/>
  <c r="H139" i="44" s="1"/>
  <c r="E140" i="44"/>
  <c r="F140" i="44" s="1"/>
  <c r="E134" i="45"/>
  <c r="G133" i="45"/>
  <c r="D134" i="45"/>
  <c r="G135" i="42"/>
  <c r="D136" i="42"/>
  <c r="E136" i="38"/>
  <c r="F136" i="38" s="1"/>
  <c r="B136" i="38"/>
  <c r="I135" i="38"/>
  <c r="H135" i="38"/>
  <c r="I135" i="41"/>
  <c r="H135" i="41"/>
  <c r="E136" i="41"/>
  <c r="F136" i="41" s="1"/>
  <c r="B136" i="41"/>
  <c r="I137" i="23"/>
  <c r="H137" i="23"/>
  <c r="B142" i="11"/>
  <c r="F142" i="11"/>
  <c r="H130" i="40"/>
  <c r="I130" i="40"/>
  <c r="H139" i="5"/>
  <c r="I139" i="5"/>
  <c r="I131" i="37"/>
  <c r="H131" i="37"/>
  <c r="H139" i="3"/>
  <c r="I139" i="3"/>
  <c r="H140" i="6"/>
  <c r="I140" i="6"/>
  <c r="B140" i="4"/>
  <c r="F140" i="4"/>
  <c r="B142" i="9"/>
  <c r="F142" i="9"/>
  <c r="H134" i="28"/>
  <c r="I134" i="28"/>
  <c r="B135" i="31"/>
  <c r="F135" i="31"/>
  <c r="B139" i="25"/>
  <c r="F139" i="25"/>
  <c r="I138" i="22"/>
  <c r="H138" i="22"/>
  <c r="H139" i="4"/>
  <c r="I139" i="4"/>
  <c r="B143" i="10"/>
  <c r="F143" i="10"/>
  <c r="B135" i="29"/>
  <c r="F135" i="29"/>
  <c r="H141" i="9"/>
  <c r="I141" i="9"/>
  <c r="B136" i="27"/>
  <c r="F136" i="27"/>
  <c r="B141" i="8"/>
  <c r="F141" i="8"/>
  <c r="H134" i="31"/>
  <c r="I134" i="31"/>
  <c r="B143" i="7"/>
  <c r="F143" i="7"/>
  <c r="I138" i="25"/>
  <c r="H138" i="25"/>
  <c r="B132" i="43"/>
  <c r="F132" i="43"/>
  <c r="B135" i="28"/>
  <c r="F135" i="28"/>
  <c r="B134" i="30"/>
  <c r="F134" i="30"/>
  <c r="B132" i="39"/>
  <c r="F132" i="39"/>
  <c r="I136" i="24"/>
  <c r="H136" i="24"/>
  <c r="B139" i="22"/>
  <c r="F139" i="22"/>
  <c r="I131" i="43"/>
  <c r="H131" i="43"/>
  <c r="H141" i="11"/>
  <c r="I141" i="11"/>
  <c r="H133" i="30"/>
  <c r="I133" i="30"/>
  <c r="H131" i="39"/>
  <c r="I131" i="39"/>
  <c r="B138" i="23"/>
  <c r="F138" i="23"/>
  <c r="H142" i="10"/>
  <c r="I142" i="10"/>
  <c r="I134" i="29"/>
  <c r="H134" i="29"/>
  <c r="B131" i="40"/>
  <c r="F131" i="40"/>
  <c r="B140" i="5"/>
  <c r="F140" i="5"/>
  <c r="B132" i="37"/>
  <c r="F132" i="37"/>
  <c r="B140" i="3"/>
  <c r="F140" i="3"/>
  <c r="H135" i="27"/>
  <c r="I135" i="27"/>
  <c r="B141" i="6"/>
  <c r="F141" i="6"/>
  <c r="H140" i="8"/>
  <c r="I140" i="8"/>
  <c r="F137" i="24"/>
  <c r="B137" i="24"/>
  <c r="H142" i="7"/>
  <c r="I142" i="7"/>
  <c r="B133" i="47" l="1"/>
  <c r="F133" i="47"/>
  <c r="I139" i="44"/>
  <c r="I132" i="47"/>
  <c r="H132" i="47"/>
  <c r="G133" i="46"/>
  <c r="E134" i="46"/>
  <c r="D134" i="46"/>
  <c r="B134" i="45"/>
  <c r="F134" i="45"/>
  <c r="H133" i="45"/>
  <c r="I133" i="45"/>
  <c r="D141" i="44"/>
  <c r="G140" i="44"/>
  <c r="G136" i="38"/>
  <c r="D137" i="38"/>
  <c r="E136" i="42"/>
  <c r="F136" i="42" s="1"/>
  <c r="B136" i="42"/>
  <c r="G136" i="41"/>
  <c r="D137" i="41"/>
  <c r="B137" i="41" s="1"/>
  <c r="I135" i="42"/>
  <c r="H135" i="42"/>
  <c r="J140" i="6"/>
  <c r="J130" i="40"/>
  <c r="J155" i="40" s="1"/>
  <c r="J133" i="30"/>
  <c r="G141" i="6"/>
  <c r="D142" i="6"/>
  <c r="E142" i="6" s="1"/>
  <c r="G141" i="8"/>
  <c r="D142" i="8"/>
  <c r="E142" i="8" s="1"/>
  <c r="J134" i="29"/>
  <c r="J142" i="7"/>
  <c r="J140" i="8"/>
  <c r="J135" i="27"/>
  <c r="G132" i="37"/>
  <c r="D133" i="37"/>
  <c r="E133" i="37" s="1"/>
  <c r="G131" i="40"/>
  <c r="D132" i="40"/>
  <c r="E132" i="40" s="1"/>
  <c r="J142" i="10"/>
  <c r="G139" i="22"/>
  <c r="D140" i="22"/>
  <c r="E140" i="22" s="1"/>
  <c r="G132" i="39"/>
  <c r="D133" i="39"/>
  <c r="E133" i="39"/>
  <c r="G135" i="28"/>
  <c r="D136" i="28"/>
  <c r="E136" i="28"/>
  <c r="J134" i="31"/>
  <c r="G136" i="27"/>
  <c r="D137" i="27"/>
  <c r="E137" i="27"/>
  <c r="G135" i="29"/>
  <c r="D136" i="29"/>
  <c r="E136" i="29" s="1"/>
  <c r="J139" i="4"/>
  <c r="G139" i="25"/>
  <c r="D140" i="25"/>
  <c r="E140" i="25" s="1"/>
  <c r="J134" i="28"/>
  <c r="G140" i="4"/>
  <c r="D141" i="4"/>
  <c r="E141" i="4" s="1"/>
  <c r="J139" i="3"/>
  <c r="J139" i="5"/>
  <c r="G142" i="11"/>
  <c r="D143" i="11"/>
  <c r="E143" i="11" s="1"/>
  <c r="G140" i="3"/>
  <c r="D141" i="3"/>
  <c r="E141" i="3" s="1"/>
  <c r="G138" i="23"/>
  <c r="D139" i="23"/>
  <c r="E139" i="23" s="1"/>
  <c r="G143" i="7"/>
  <c r="D144" i="7"/>
  <c r="E144" i="7" s="1"/>
  <c r="D136" i="31"/>
  <c r="E136" i="31" s="1"/>
  <c r="G135" i="31"/>
  <c r="G132" i="43"/>
  <c r="D133" i="43"/>
  <c r="E133" i="43" s="1"/>
  <c r="G143" i="10"/>
  <c r="D144" i="10"/>
  <c r="E144" i="10" s="1"/>
  <c r="G142" i="9"/>
  <c r="D143" i="9"/>
  <c r="E143" i="9" s="1"/>
  <c r="G140" i="5"/>
  <c r="D141" i="5"/>
  <c r="E141" i="5" s="1"/>
  <c r="G134" i="30"/>
  <c r="D135" i="30"/>
  <c r="E135" i="30" s="1"/>
  <c r="G137" i="24"/>
  <c r="D138" i="24"/>
  <c r="E138" i="24" s="1"/>
  <c r="B134" i="46" l="1"/>
  <c r="F134" i="46"/>
  <c r="H133" i="46"/>
  <c r="I133" i="46"/>
  <c r="G133" i="47"/>
  <c r="D134" i="47"/>
  <c r="E134" i="47" s="1"/>
  <c r="D135" i="45"/>
  <c r="B135" i="45" s="1"/>
  <c r="E135" i="45"/>
  <c r="G134" i="45"/>
  <c r="I140" i="44"/>
  <c r="H140" i="44"/>
  <c r="E141" i="44"/>
  <c r="F141" i="44" s="1"/>
  <c r="B141" i="44"/>
  <c r="E137" i="41"/>
  <c r="F137" i="41" s="1"/>
  <c r="D138" i="41" s="1"/>
  <c r="D137" i="42"/>
  <c r="G136" i="42"/>
  <c r="H136" i="41"/>
  <c r="I136" i="41"/>
  <c r="E137" i="38"/>
  <c r="F137" i="38" s="1"/>
  <c r="B137" i="38"/>
  <c r="I136" i="38"/>
  <c r="H136" i="38"/>
  <c r="B141" i="3"/>
  <c r="F141" i="3"/>
  <c r="B141" i="4"/>
  <c r="F141" i="4"/>
  <c r="B140" i="25"/>
  <c r="F140" i="25"/>
  <c r="B136" i="29"/>
  <c r="F136" i="29"/>
  <c r="I136" i="27"/>
  <c r="H136" i="27"/>
  <c r="I135" i="28"/>
  <c r="H135" i="28"/>
  <c r="B133" i="37"/>
  <c r="F133" i="37"/>
  <c r="H141" i="8"/>
  <c r="I141" i="8"/>
  <c r="B135" i="30"/>
  <c r="F135" i="30"/>
  <c r="B136" i="31"/>
  <c r="F136" i="31"/>
  <c r="B138" i="24"/>
  <c r="F138" i="24"/>
  <c r="H134" i="30"/>
  <c r="I134" i="30"/>
  <c r="B144" i="10"/>
  <c r="F144" i="10"/>
  <c r="H132" i="43"/>
  <c r="I132" i="43"/>
  <c r="B139" i="23"/>
  <c r="F139" i="23"/>
  <c r="I140" i="3"/>
  <c r="H140" i="3"/>
  <c r="I140" i="4"/>
  <c r="H140" i="4"/>
  <c r="H139" i="25"/>
  <c r="I139" i="25"/>
  <c r="H135" i="29"/>
  <c r="I135" i="29"/>
  <c r="B140" i="22"/>
  <c r="F140" i="22"/>
  <c r="B132" i="40"/>
  <c r="F132" i="40"/>
  <c r="I132" i="37"/>
  <c r="H132" i="37"/>
  <c r="B141" i="5"/>
  <c r="F141" i="5"/>
  <c r="H140" i="5"/>
  <c r="I140" i="5"/>
  <c r="B133" i="43"/>
  <c r="F133" i="43"/>
  <c r="H142" i="11"/>
  <c r="I142" i="11"/>
  <c r="H137" i="24"/>
  <c r="I137" i="24"/>
  <c r="B143" i="9"/>
  <c r="F143" i="9"/>
  <c r="H143" i="10"/>
  <c r="I143" i="10"/>
  <c r="B144" i="7"/>
  <c r="F144" i="7"/>
  <c r="I138" i="23"/>
  <c r="H138" i="23"/>
  <c r="F133" i="39"/>
  <c r="B133" i="39"/>
  <c r="H139" i="22"/>
  <c r="I139" i="22"/>
  <c r="I131" i="40"/>
  <c r="H131" i="40"/>
  <c r="B142" i="6"/>
  <c r="F142" i="6"/>
  <c r="I142" i="9"/>
  <c r="H142" i="9"/>
  <c r="H135" i="31"/>
  <c r="I135" i="31"/>
  <c r="H143" i="7"/>
  <c r="I143" i="7"/>
  <c r="B143" i="11"/>
  <c r="F143" i="11"/>
  <c r="B137" i="27"/>
  <c r="F137" i="27"/>
  <c r="B136" i="28"/>
  <c r="F136" i="28"/>
  <c r="I132" i="39"/>
  <c r="H132" i="39"/>
  <c r="B142" i="8"/>
  <c r="F142" i="8"/>
  <c r="H141" i="6"/>
  <c r="I141" i="6"/>
  <c r="B134" i="47" l="1"/>
  <c r="F134" i="47"/>
  <c r="G134" i="46"/>
  <c r="D135" i="46"/>
  <c r="E135" i="46"/>
  <c r="H133" i="47"/>
  <c r="I133" i="47"/>
  <c r="H134" i="45"/>
  <c r="I134" i="45"/>
  <c r="F135" i="45"/>
  <c r="G137" i="41"/>
  <c r="I137" i="41" s="1"/>
  <c r="D142" i="44"/>
  <c r="G141" i="44"/>
  <c r="D138" i="38"/>
  <c r="G137" i="38"/>
  <c r="H136" i="42"/>
  <c r="I136" i="42"/>
  <c r="E138" i="41"/>
  <c r="F138" i="41" s="1"/>
  <c r="B138" i="41"/>
  <c r="E137" i="42"/>
  <c r="F137" i="42" s="1"/>
  <c r="B137" i="42"/>
  <c r="J140" i="3"/>
  <c r="J135" i="28"/>
  <c r="J140" i="4"/>
  <c r="J141" i="6"/>
  <c r="G137" i="27"/>
  <c r="D138" i="27"/>
  <c r="E138" i="27"/>
  <c r="J143" i="7"/>
  <c r="G144" i="7"/>
  <c r="D145" i="7"/>
  <c r="E145" i="7" s="1"/>
  <c r="G143" i="9"/>
  <c r="D144" i="9"/>
  <c r="E144" i="9" s="1"/>
  <c r="J140" i="5"/>
  <c r="G140" i="22"/>
  <c r="D141" i="22"/>
  <c r="E141" i="22" s="1"/>
  <c r="J134" i="30"/>
  <c r="G136" i="31"/>
  <c r="D137" i="31"/>
  <c r="E137" i="31" s="1"/>
  <c r="J141" i="8"/>
  <c r="G136" i="29"/>
  <c r="D137" i="29"/>
  <c r="E137" i="29" s="1"/>
  <c r="G141" i="4"/>
  <c r="D142" i="4"/>
  <c r="E142" i="4" s="1"/>
  <c r="D134" i="39"/>
  <c r="G133" i="39"/>
  <c r="E134" i="39"/>
  <c r="G142" i="8"/>
  <c r="D143" i="8"/>
  <c r="E143" i="8" s="1"/>
  <c r="D137" i="28"/>
  <c r="E137" i="28" s="1"/>
  <c r="G136" i="28"/>
  <c r="G143" i="11"/>
  <c r="D144" i="11"/>
  <c r="E144" i="11" s="1"/>
  <c r="J135" i="31"/>
  <c r="G142" i="6"/>
  <c r="D143" i="6"/>
  <c r="E143" i="6" s="1"/>
  <c r="J143" i="10"/>
  <c r="G133" i="43"/>
  <c r="D134" i="43"/>
  <c r="E134" i="43" s="1"/>
  <c r="G141" i="5"/>
  <c r="D142" i="5"/>
  <c r="E142" i="5" s="1"/>
  <c r="G132" i="40"/>
  <c r="D133" i="40"/>
  <c r="E133" i="40" s="1"/>
  <c r="J135" i="29"/>
  <c r="G139" i="23"/>
  <c r="D140" i="23"/>
  <c r="E140" i="23" s="1"/>
  <c r="G144" i="10"/>
  <c r="D145" i="10"/>
  <c r="E145" i="10" s="1"/>
  <c r="G138" i="24"/>
  <c r="D139" i="24"/>
  <c r="E139" i="24" s="1"/>
  <c r="G135" i="30"/>
  <c r="D136" i="30"/>
  <c r="E136" i="30" s="1"/>
  <c r="G133" i="37"/>
  <c r="D134" i="37"/>
  <c r="E134" i="37"/>
  <c r="G140" i="25"/>
  <c r="D141" i="25"/>
  <c r="E141" i="25" s="1"/>
  <c r="G141" i="3"/>
  <c r="D142" i="3"/>
  <c r="E142" i="3" s="1"/>
  <c r="J136" i="27"/>
  <c r="B135" i="46" l="1"/>
  <c r="F135" i="46"/>
  <c r="H134" i="46"/>
  <c r="I134" i="46"/>
  <c r="G134" i="47"/>
  <c r="D135" i="47"/>
  <c r="E135" i="47" s="1"/>
  <c r="H137" i="41"/>
  <c r="E136" i="45"/>
  <c r="G135" i="45"/>
  <c r="D136" i="45"/>
  <c r="B136" i="45" s="1"/>
  <c r="E142" i="44"/>
  <c r="F142" i="44" s="1"/>
  <c r="B142" i="44"/>
  <c r="I141" i="44"/>
  <c r="H141" i="44"/>
  <c r="G138" i="41"/>
  <c r="D139" i="41"/>
  <c r="G137" i="42"/>
  <c r="D138" i="42"/>
  <c r="H137" i="38"/>
  <c r="I137" i="38"/>
  <c r="E138" i="38"/>
  <c r="F138" i="38" s="1"/>
  <c r="B138" i="38"/>
  <c r="B142" i="3"/>
  <c r="F142" i="3"/>
  <c r="I140" i="25"/>
  <c r="H140" i="25"/>
  <c r="I141" i="3"/>
  <c r="H141" i="3"/>
  <c r="B136" i="30"/>
  <c r="F136" i="30"/>
  <c r="H138" i="24"/>
  <c r="I138" i="24"/>
  <c r="B142" i="5"/>
  <c r="F142" i="5"/>
  <c r="H133" i="43"/>
  <c r="I133" i="43"/>
  <c r="H142" i="6"/>
  <c r="I142" i="6"/>
  <c r="I143" i="11"/>
  <c r="H143" i="11"/>
  <c r="H133" i="39"/>
  <c r="I133" i="39"/>
  <c r="I141" i="4"/>
  <c r="H141" i="4"/>
  <c r="H135" i="30"/>
  <c r="I135" i="30"/>
  <c r="B140" i="23"/>
  <c r="F140" i="23"/>
  <c r="B133" i="40"/>
  <c r="F133" i="40"/>
  <c r="H141" i="5"/>
  <c r="I141" i="5"/>
  <c r="B143" i="8"/>
  <c r="F143" i="8"/>
  <c r="B134" i="39"/>
  <c r="F134" i="39"/>
  <c r="B145" i="7"/>
  <c r="F145" i="7"/>
  <c r="B138" i="27"/>
  <c r="F138" i="27"/>
  <c r="B141" i="25"/>
  <c r="F141" i="25"/>
  <c r="B145" i="10"/>
  <c r="F145" i="10"/>
  <c r="I139" i="23"/>
  <c r="H139" i="23"/>
  <c r="H132" i="40"/>
  <c r="I132" i="40"/>
  <c r="H136" i="28"/>
  <c r="I136" i="28"/>
  <c r="H142" i="8"/>
  <c r="I142" i="8"/>
  <c r="B137" i="29"/>
  <c r="F137" i="29"/>
  <c r="B137" i="31"/>
  <c r="F137" i="31"/>
  <c r="B141" i="22"/>
  <c r="F141" i="22"/>
  <c r="B144" i="9"/>
  <c r="F144" i="9"/>
  <c r="I144" i="7"/>
  <c r="H144" i="7"/>
  <c r="I137" i="27"/>
  <c r="H137" i="27"/>
  <c r="B134" i="37"/>
  <c r="F134" i="37"/>
  <c r="I133" i="37"/>
  <c r="H133" i="37"/>
  <c r="B139" i="24"/>
  <c r="F139" i="24"/>
  <c r="I144" i="10"/>
  <c r="H144" i="10"/>
  <c r="B134" i="43"/>
  <c r="F134" i="43"/>
  <c r="B143" i="6"/>
  <c r="F143" i="6"/>
  <c r="B144" i="11"/>
  <c r="F144" i="11"/>
  <c r="B137" i="28"/>
  <c r="F137" i="28"/>
  <c r="B142" i="4"/>
  <c r="F142" i="4"/>
  <c r="H136" i="29"/>
  <c r="I136" i="29"/>
  <c r="I136" i="31"/>
  <c r="H136" i="31"/>
  <c r="H140" i="22"/>
  <c r="I140" i="22"/>
  <c r="H143" i="9"/>
  <c r="I143" i="9"/>
  <c r="F135" i="47" l="1"/>
  <c r="B135" i="47"/>
  <c r="D136" i="46"/>
  <c r="B136" i="46" s="1"/>
  <c r="E136" i="46"/>
  <c r="F136" i="46" s="1"/>
  <c r="G135" i="46"/>
  <c r="I134" i="47"/>
  <c r="H134" i="47"/>
  <c r="H135" i="45"/>
  <c r="I135" i="45"/>
  <c r="F136" i="45"/>
  <c r="D143" i="44"/>
  <c r="B143" i="44" s="1"/>
  <c r="G142" i="44"/>
  <c r="D139" i="38"/>
  <c r="G138" i="38"/>
  <c r="E139" i="41"/>
  <c r="F139" i="41" s="1"/>
  <c r="B139" i="41"/>
  <c r="E138" i="42"/>
  <c r="F138" i="42" s="1"/>
  <c r="B138" i="42"/>
  <c r="I137" i="42"/>
  <c r="H137" i="42"/>
  <c r="H138" i="41"/>
  <c r="I138" i="41"/>
  <c r="J136" i="31"/>
  <c r="J144" i="7"/>
  <c r="J141" i="5"/>
  <c r="J136" i="29"/>
  <c r="J142" i="8"/>
  <c r="J137" i="27"/>
  <c r="G142" i="4"/>
  <c r="D143" i="4"/>
  <c r="E143" i="4" s="1"/>
  <c r="G144" i="11"/>
  <c r="D145" i="11"/>
  <c r="E145" i="11" s="1"/>
  <c r="G134" i="43"/>
  <c r="D135" i="43"/>
  <c r="E135" i="43" s="1"/>
  <c r="G139" i="24"/>
  <c r="D140" i="24"/>
  <c r="E140" i="24" s="1"/>
  <c r="G134" i="37"/>
  <c r="D135" i="37"/>
  <c r="E135" i="37" s="1"/>
  <c r="G141" i="22"/>
  <c r="D142" i="22"/>
  <c r="E142" i="22" s="1"/>
  <c r="G137" i="29"/>
  <c r="D138" i="29"/>
  <c r="E138" i="29" s="1"/>
  <c r="J136" i="28"/>
  <c r="G141" i="25"/>
  <c r="D142" i="25"/>
  <c r="E142" i="25" s="1"/>
  <c r="G145" i="7"/>
  <c r="D146" i="7"/>
  <c r="E146" i="7" s="1"/>
  <c r="G143" i="8"/>
  <c r="D144" i="8"/>
  <c r="E144" i="8" s="1"/>
  <c r="G133" i="40"/>
  <c r="D134" i="40"/>
  <c r="E134" i="40"/>
  <c r="J135" i="30"/>
  <c r="J142" i="6"/>
  <c r="G142" i="5"/>
  <c r="D143" i="5"/>
  <c r="E143" i="5" s="1"/>
  <c r="G136" i="30"/>
  <c r="D137" i="30"/>
  <c r="E137" i="30" s="1"/>
  <c r="D138" i="28"/>
  <c r="E138" i="28" s="1"/>
  <c r="G137" i="28"/>
  <c r="G143" i="6"/>
  <c r="D144" i="6"/>
  <c r="E144" i="6" s="1"/>
  <c r="G144" i="9"/>
  <c r="D145" i="9"/>
  <c r="E145" i="9" s="1"/>
  <c r="G137" i="31"/>
  <c r="D138" i="31"/>
  <c r="E138" i="31" s="1"/>
  <c r="G145" i="10"/>
  <c r="D146" i="10"/>
  <c r="E146" i="10" s="1"/>
  <c r="G138" i="27"/>
  <c r="D139" i="27"/>
  <c r="E139" i="27" s="1"/>
  <c r="G134" i="39"/>
  <c r="D135" i="39"/>
  <c r="E135" i="39"/>
  <c r="G140" i="23"/>
  <c r="D141" i="23"/>
  <c r="E141" i="23" s="1"/>
  <c r="G142" i="3"/>
  <c r="D143" i="3"/>
  <c r="E143" i="3" s="1"/>
  <c r="J144" i="10"/>
  <c r="J141" i="4"/>
  <c r="J141" i="3"/>
  <c r="G136" i="46" l="1"/>
  <c r="E137" i="46"/>
  <c r="D137" i="46"/>
  <c r="B137" i="46" s="1"/>
  <c r="H135" i="46"/>
  <c r="I135" i="46"/>
  <c r="G135" i="47"/>
  <c r="D136" i="47"/>
  <c r="E136" i="47" s="1"/>
  <c r="D137" i="45"/>
  <c r="G136" i="45"/>
  <c r="E137" i="45"/>
  <c r="E143" i="44"/>
  <c r="F143" i="44" s="1"/>
  <c r="I142" i="44"/>
  <c r="H142" i="44"/>
  <c r="I138" i="38"/>
  <c r="H138" i="38"/>
  <c r="G139" i="41"/>
  <c r="D140" i="41"/>
  <c r="B140" i="41" s="1"/>
  <c r="G138" i="42"/>
  <c r="D139" i="42"/>
  <c r="B139" i="42" s="1"/>
  <c r="E139" i="42"/>
  <c r="E139" i="38"/>
  <c r="F139" i="38" s="1"/>
  <c r="B139" i="38"/>
  <c r="H134" i="39"/>
  <c r="I134" i="39"/>
  <c r="B143" i="3"/>
  <c r="F143" i="3"/>
  <c r="H140" i="23"/>
  <c r="I140" i="23"/>
  <c r="B146" i="10"/>
  <c r="F146" i="10"/>
  <c r="H137" i="31"/>
  <c r="I137" i="31"/>
  <c r="H137" i="28"/>
  <c r="I137" i="28"/>
  <c r="H136" i="30"/>
  <c r="I136" i="30"/>
  <c r="I133" i="40"/>
  <c r="H133" i="40"/>
  <c r="B142" i="25"/>
  <c r="F142" i="25"/>
  <c r="B138" i="29"/>
  <c r="F138" i="29"/>
  <c r="H141" i="22"/>
  <c r="I141" i="22"/>
  <c r="B135" i="43"/>
  <c r="F135" i="43"/>
  <c r="H144" i="11"/>
  <c r="I144" i="11"/>
  <c r="H142" i="3"/>
  <c r="I142" i="3"/>
  <c r="B139" i="27"/>
  <c r="F139" i="27"/>
  <c r="H145" i="10"/>
  <c r="I145" i="10"/>
  <c r="B144" i="6"/>
  <c r="F144" i="6"/>
  <c r="B138" i="28"/>
  <c r="F138" i="28"/>
  <c r="B146" i="7"/>
  <c r="F146" i="7"/>
  <c r="I141" i="25"/>
  <c r="H141" i="25"/>
  <c r="H137" i="29"/>
  <c r="I137" i="29"/>
  <c r="B140" i="24"/>
  <c r="F140" i="24"/>
  <c r="H134" i="43"/>
  <c r="I134" i="43"/>
  <c r="B135" i="39"/>
  <c r="F135" i="39"/>
  <c r="I138" i="27"/>
  <c r="H138" i="27"/>
  <c r="B145" i="9"/>
  <c r="F145" i="9"/>
  <c r="I143" i="6"/>
  <c r="H143" i="6"/>
  <c r="B143" i="5"/>
  <c r="F143" i="5"/>
  <c r="B144" i="8"/>
  <c r="F144" i="8"/>
  <c r="I145" i="7"/>
  <c r="H145" i="7"/>
  <c r="B135" i="37"/>
  <c r="F135" i="37"/>
  <c r="H139" i="24"/>
  <c r="I139" i="24"/>
  <c r="B143" i="4"/>
  <c r="F143" i="4"/>
  <c r="B141" i="23"/>
  <c r="F141" i="23"/>
  <c r="B138" i="31"/>
  <c r="F138" i="31"/>
  <c r="I144" i="9"/>
  <c r="H144" i="9"/>
  <c r="B137" i="30"/>
  <c r="F137" i="30"/>
  <c r="I142" i="5"/>
  <c r="H142" i="5"/>
  <c r="B134" i="40"/>
  <c r="F134" i="40"/>
  <c r="H143" i="8"/>
  <c r="I143" i="8"/>
  <c r="B142" i="22"/>
  <c r="F142" i="22"/>
  <c r="H134" i="37"/>
  <c r="I134" i="37"/>
  <c r="B145" i="11"/>
  <c r="F145" i="11"/>
  <c r="H142" i="4"/>
  <c r="I142" i="4"/>
  <c r="F137" i="46" l="1"/>
  <c r="B136" i="47"/>
  <c r="F136" i="47"/>
  <c r="H135" i="47"/>
  <c r="I135" i="47"/>
  <c r="G137" i="46"/>
  <c r="E138" i="46"/>
  <c r="D138" i="46"/>
  <c r="H136" i="46"/>
  <c r="I136" i="46"/>
  <c r="H136" i="45"/>
  <c r="I136" i="45"/>
  <c r="B137" i="45"/>
  <c r="F137" i="45"/>
  <c r="G143" i="44"/>
  <c r="D144" i="44"/>
  <c r="F139" i="42"/>
  <c r="G139" i="42" s="1"/>
  <c r="E140" i="41"/>
  <c r="F140" i="41" s="1"/>
  <c r="I139" i="41"/>
  <c r="H139" i="41"/>
  <c r="G139" i="38"/>
  <c r="D140" i="38"/>
  <c r="B140" i="38" s="1"/>
  <c r="H138" i="42"/>
  <c r="I138" i="42"/>
  <c r="J137" i="31"/>
  <c r="J142" i="5"/>
  <c r="J145" i="7"/>
  <c r="J136" i="30"/>
  <c r="J137" i="29"/>
  <c r="J142" i="4"/>
  <c r="J143" i="8"/>
  <c r="G141" i="23"/>
  <c r="D142" i="23"/>
  <c r="E142" i="23" s="1"/>
  <c r="G143" i="5"/>
  <c r="D144" i="5"/>
  <c r="E144" i="5" s="1"/>
  <c r="D146" i="9"/>
  <c r="E146" i="9" s="1"/>
  <c r="G145" i="9"/>
  <c r="G135" i="39"/>
  <c r="D136" i="39"/>
  <c r="E136" i="39" s="1"/>
  <c r="G140" i="24"/>
  <c r="D141" i="24"/>
  <c r="E141" i="24" s="1"/>
  <c r="G138" i="28"/>
  <c r="D139" i="28"/>
  <c r="E139" i="28"/>
  <c r="J145" i="10"/>
  <c r="J142" i="3"/>
  <c r="G135" i="43"/>
  <c r="D136" i="43"/>
  <c r="E136" i="43"/>
  <c r="G138" i="29"/>
  <c r="D139" i="29"/>
  <c r="E139" i="29" s="1"/>
  <c r="J137" i="28"/>
  <c r="D147" i="10"/>
  <c r="E147" i="10" s="1"/>
  <c r="G146" i="10"/>
  <c r="G143" i="3"/>
  <c r="D144" i="3"/>
  <c r="E144" i="3" s="1"/>
  <c r="G145" i="11"/>
  <c r="D146" i="11"/>
  <c r="E146" i="11" s="1"/>
  <c r="G142" i="22"/>
  <c r="D143" i="22"/>
  <c r="E143" i="22" s="1"/>
  <c r="G134" i="40"/>
  <c r="D135" i="40"/>
  <c r="E135" i="40" s="1"/>
  <c r="G137" i="30"/>
  <c r="D138" i="30"/>
  <c r="E138" i="30" s="1"/>
  <c r="G138" i="31"/>
  <c r="D139" i="31"/>
  <c r="E139" i="31" s="1"/>
  <c r="G143" i="4"/>
  <c r="D144" i="4"/>
  <c r="E144" i="4" s="1"/>
  <c r="G135" i="37"/>
  <c r="D136" i="37"/>
  <c r="E136" i="37" s="1"/>
  <c r="D145" i="8"/>
  <c r="E145" i="8" s="1"/>
  <c r="G144" i="8"/>
  <c r="G146" i="7"/>
  <c r="D147" i="7"/>
  <c r="E147" i="7" s="1"/>
  <c r="G144" i="6"/>
  <c r="D145" i="6"/>
  <c r="E145" i="6" s="1"/>
  <c r="G139" i="27"/>
  <c r="D140" i="27"/>
  <c r="E140" i="27"/>
  <c r="G142" i="25"/>
  <c r="D143" i="25"/>
  <c r="E143" i="25" s="1"/>
  <c r="J143" i="6"/>
  <c r="J138" i="27"/>
  <c r="B138" i="46" l="1"/>
  <c r="F138" i="46"/>
  <c r="D137" i="47"/>
  <c r="E137" i="47" s="1"/>
  <c r="G136" i="47"/>
  <c r="I137" i="46"/>
  <c r="H137" i="46"/>
  <c r="D138" i="45"/>
  <c r="G137" i="45"/>
  <c r="E138" i="45"/>
  <c r="D140" i="42"/>
  <c r="B140" i="42" s="1"/>
  <c r="E144" i="44"/>
  <c r="F144" i="44" s="1"/>
  <c r="B144" i="44"/>
  <c r="I143" i="44"/>
  <c r="H143" i="44"/>
  <c r="E140" i="38"/>
  <c r="F140" i="38" s="1"/>
  <c r="D141" i="38" s="1"/>
  <c r="B141" i="38" s="1"/>
  <c r="G140" i="41"/>
  <c r="D141" i="41"/>
  <c r="H139" i="42"/>
  <c r="I139" i="42"/>
  <c r="H139" i="38"/>
  <c r="I139" i="38"/>
  <c r="I142" i="25"/>
  <c r="H142" i="25"/>
  <c r="B145" i="8"/>
  <c r="F145" i="8"/>
  <c r="B145" i="6"/>
  <c r="F145" i="6"/>
  <c r="H146" i="7"/>
  <c r="I146" i="7"/>
  <c r="B144" i="4"/>
  <c r="F144" i="4"/>
  <c r="H138" i="31"/>
  <c r="I138" i="31"/>
  <c r="B143" i="22"/>
  <c r="F143" i="22"/>
  <c r="H145" i="11"/>
  <c r="I145" i="11"/>
  <c r="B136" i="43"/>
  <c r="F136" i="43"/>
  <c r="F141" i="24"/>
  <c r="B141" i="24"/>
  <c r="H135" i="39"/>
  <c r="I135" i="39"/>
  <c r="B142" i="23"/>
  <c r="F142" i="23"/>
  <c r="B136" i="37"/>
  <c r="F136" i="37"/>
  <c r="B135" i="40"/>
  <c r="F135" i="40"/>
  <c r="I142" i="22"/>
  <c r="H142" i="22"/>
  <c r="H146" i="10"/>
  <c r="I146" i="10"/>
  <c r="B139" i="29"/>
  <c r="F139" i="29"/>
  <c r="I135" i="43"/>
  <c r="H135" i="43"/>
  <c r="B139" i="28"/>
  <c r="F139" i="28"/>
  <c r="I140" i="24"/>
  <c r="H140" i="24"/>
  <c r="B144" i="5"/>
  <c r="F144" i="5"/>
  <c r="H141" i="23"/>
  <c r="I141" i="23"/>
  <c r="B140" i="27"/>
  <c r="F140" i="27"/>
  <c r="H144" i="6"/>
  <c r="I144" i="6"/>
  <c r="H143" i="4"/>
  <c r="I143" i="4"/>
  <c r="B143" i="25"/>
  <c r="F143" i="25"/>
  <c r="H139" i="27"/>
  <c r="I139" i="27"/>
  <c r="H144" i="8"/>
  <c r="I144" i="8"/>
  <c r="H135" i="37"/>
  <c r="I135" i="37"/>
  <c r="B138" i="30"/>
  <c r="F138" i="30"/>
  <c r="H134" i="40"/>
  <c r="I134" i="40"/>
  <c r="B144" i="3"/>
  <c r="F144" i="3"/>
  <c r="B147" i="10"/>
  <c r="F147" i="10"/>
  <c r="H138" i="29"/>
  <c r="I138" i="29"/>
  <c r="I138" i="28"/>
  <c r="H138" i="28"/>
  <c r="H145" i="9"/>
  <c r="I145" i="9"/>
  <c r="H143" i="5"/>
  <c r="I143" i="5"/>
  <c r="B147" i="7"/>
  <c r="F147" i="7"/>
  <c r="B139" i="31"/>
  <c r="F139" i="31"/>
  <c r="H137" i="30"/>
  <c r="I137" i="30"/>
  <c r="B146" i="11"/>
  <c r="F146" i="11"/>
  <c r="H143" i="3"/>
  <c r="I143" i="3"/>
  <c r="B136" i="39"/>
  <c r="F136" i="39"/>
  <c r="B146" i="9"/>
  <c r="F146" i="9"/>
  <c r="I136" i="47" l="1"/>
  <c r="H136" i="47"/>
  <c r="F137" i="47"/>
  <c r="B137" i="47"/>
  <c r="E139" i="46"/>
  <c r="D139" i="46"/>
  <c r="G138" i="46"/>
  <c r="B138" i="45"/>
  <c r="F138" i="45"/>
  <c r="I137" i="45"/>
  <c r="H137" i="45"/>
  <c r="E140" i="42"/>
  <c r="F140" i="42" s="1"/>
  <c r="G144" i="44"/>
  <c r="D145" i="44"/>
  <c r="E141" i="38"/>
  <c r="F141" i="38" s="1"/>
  <c r="G141" i="38" s="1"/>
  <c r="G140" i="38"/>
  <c r="H140" i="38" s="1"/>
  <c r="E141" i="41"/>
  <c r="F141" i="41" s="1"/>
  <c r="B141" i="41"/>
  <c r="H140" i="41"/>
  <c r="I140" i="41"/>
  <c r="J138" i="28"/>
  <c r="G146" i="9"/>
  <c r="D147" i="9"/>
  <c r="E147" i="9" s="1"/>
  <c r="J143" i="3"/>
  <c r="J137" i="30"/>
  <c r="G147" i="7"/>
  <c r="D148" i="7"/>
  <c r="E148" i="7" s="1"/>
  <c r="J138" i="29"/>
  <c r="G144" i="3"/>
  <c r="D145" i="3"/>
  <c r="E145" i="3" s="1"/>
  <c r="G138" i="30"/>
  <c r="D139" i="30"/>
  <c r="E139" i="30"/>
  <c r="J144" i="8"/>
  <c r="G143" i="25"/>
  <c r="D144" i="25"/>
  <c r="E144" i="25" s="1"/>
  <c r="J144" i="6"/>
  <c r="J146" i="10"/>
  <c r="G135" i="40"/>
  <c r="D136" i="40"/>
  <c r="E136" i="40" s="1"/>
  <c r="G142" i="23"/>
  <c r="D143" i="23"/>
  <c r="E143" i="23" s="1"/>
  <c r="J138" i="31"/>
  <c r="J146" i="7"/>
  <c r="G145" i="8"/>
  <c r="D146" i="8"/>
  <c r="E146" i="8" s="1"/>
  <c r="G141" i="24"/>
  <c r="D142" i="24"/>
  <c r="E142" i="24" s="1"/>
  <c r="G136" i="39"/>
  <c r="D137" i="39"/>
  <c r="E137" i="39" s="1"/>
  <c r="G146" i="11"/>
  <c r="D147" i="11"/>
  <c r="E147" i="11" s="1"/>
  <c r="G139" i="31"/>
  <c r="D140" i="31"/>
  <c r="E140" i="31" s="1"/>
  <c r="J143" i="5"/>
  <c r="G147" i="10"/>
  <c r="D148" i="10"/>
  <c r="E148" i="10" s="1"/>
  <c r="J139" i="27"/>
  <c r="J143" i="4"/>
  <c r="G140" i="27"/>
  <c r="D141" i="27"/>
  <c r="E141" i="27" s="1"/>
  <c r="G144" i="5"/>
  <c r="D145" i="5"/>
  <c r="E145" i="5" s="1"/>
  <c r="G139" i="28"/>
  <c r="D140" i="28"/>
  <c r="E140" i="28" s="1"/>
  <c r="D140" i="29"/>
  <c r="E140" i="29" s="1"/>
  <c r="G139" i="29"/>
  <c r="G136" i="37"/>
  <c r="D137" i="37"/>
  <c r="E137" i="37" s="1"/>
  <c r="G136" i="43"/>
  <c r="D137" i="43"/>
  <c r="E137" i="43" s="1"/>
  <c r="G143" i="22"/>
  <c r="D144" i="22"/>
  <c r="E144" i="22" s="1"/>
  <c r="G144" i="4"/>
  <c r="D145" i="4"/>
  <c r="E145" i="4" s="1"/>
  <c r="G145" i="6"/>
  <c r="D146" i="6"/>
  <c r="E146" i="6" s="1"/>
  <c r="H138" i="46" l="1"/>
  <c r="I138" i="46"/>
  <c r="G137" i="47"/>
  <c r="D138" i="47"/>
  <c r="E138" i="47" s="1"/>
  <c r="B139" i="46"/>
  <c r="F139" i="46"/>
  <c r="G138" i="45"/>
  <c r="E139" i="45"/>
  <c r="D139" i="45"/>
  <c r="D141" i="42"/>
  <c r="B141" i="42" s="1"/>
  <c r="G140" i="42"/>
  <c r="I140" i="42" s="1"/>
  <c r="I140" i="38"/>
  <c r="E145" i="44"/>
  <c r="F145" i="44" s="1"/>
  <c r="B145" i="44"/>
  <c r="H144" i="44"/>
  <c r="I144" i="44"/>
  <c r="D142" i="38"/>
  <c r="B142" i="38" s="1"/>
  <c r="G141" i="41"/>
  <c r="D142" i="41"/>
  <c r="B142" i="41" s="1"/>
  <c r="I141" i="38"/>
  <c r="H141" i="38"/>
  <c r="H140" i="42"/>
  <c r="B146" i="6"/>
  <c r="F146" i="6"/>
  <c r="H144" i="4"/>
  <c r="I144" i="4"/>
  <c r="B137" i="37"/>
  <c r="F137" i="37"/>
  <c r="B140" i="29"/>
  <c r="F140" i="29"/>
  <c r="B141" i="27"/>
  <c r="F141" i="27"/>
  <c r="B147" i="11"/>
  <c r="F147" i="11"/>
  <c r="H136" i="39"/>
  <c r="I136" i="39"/>
  <c r="B148" i="10"/>
  <c r="F148" i="10"/>
  <c r="B140" i="31"/>
  <c r="F140" i="31"/>
  <c r="I146" i="11"/>
  <c r="H146" i="11"/>
  <c r="B146" i="8"/>
  <c r="F146" i="8"/>
  <c r="B136" i="40"/>
  <c r="F136" i="40"/>
  <c r="B145" i="3"/>
  <c r="F145" i="3"/>
  <c r="B148" i="7"/>
  <c r="F148" i="7"/>
  <c r="B137" i="43"/>
  <c r="F137" i="43"/>
  <c r="H136" i="37"/>
  <c r="I136" i="37"/>
  <c r="H140" i="27"/>
  <c r="I140" i="27"/>
  <c r="B140" i="28"/>
  <c r="F140" i="28"/>
  <c r="H144" i="5"/>
  <c r="I144" i="5"/>
  <c r="H147" i="10"/>
  <c r="I147" i="10"/>
  <c r="H139" i="31"/>
  <c r="I139" i="31"/>
  <c r="B142" i="24"/>
  <c r="F142" i="24"/>
  <c r="H145" i="8"/>
  <c r="I145" i="8"/>
  <c r="B143" i="23"/>
  <c r="F143" i="23"/>
  <c r="H135" i="40"/>
  <c r="I135" i="40"/>
  <c r="B144" i="25"/>
  <c r="F144" i="25"/>
  <c r="B139" i="30"/>
  <c r="F139" i="30"/>
  <c r="H144" i="3"/>
  <c r="I144" i="3"/>
  <c r="H147" i="7"/>
  <c r="I147" i="7"/>
  <c r="B147" i="9"/>
  <c r="F147" i="9"/>
  <c r="H145" i="6"/>
  <c r="I145" i="6"/>
  <c r="B145" i="5"/>
  <c r="F145" i="5"/>
  <c r="B144" i="22"/>
  <c r="F144" i="22"/>
  <c r="I136" i="43"/>
  <c r="H136" i="43"/>
  <c r="B145" i="4"/>
  <c r="F145" i="4"/>
  <c r="I143" i="22"/>
  <c r="H143" i="22"/>
  <c r="H139" i="29"/>
  <c r="I139" i="29"/>
  <c r="H139" i="28"/>
  <c r="I139" i="28"/>
  <c r="B137" i="39"/>
  <c r="F137" i="39"/>
  <c r="H141" i="24"/>
  <c r="I141" i="24"/>
  <c r="I142" i="23"/>
  <c r="H142" i="23"/>
  <c r="H143" i="25"/>
  <c r="I143" i="25"/>
  <c r="I138" i="30"/>
  <c r="H138" i="30"/>
  <c r="I146" i="9"/>
  <c r="H146" i="9"/>
  <c r="F138" i="47" l="1"/>
  <c r="B138" i="47"/>
  <c r="D140" i="46"/>
  <c r="B140" i="46" s="1"/>
  <c r="E140" i="46"/>
  <c r="F140" i="46" s="1"/>
  <c r="G139" i="46"/>
  <c r="I137" i="47"/>
  <c r="H137" i="47"/>
  <c r="B139" i="45"/>
  <c r="F139" i="45"/>
  <c r="E141" i="42"/>
  <c r="F141" i="42" s="1"/>
  <c r="D142" i="42" s="1"/>
  <c r="I138" i="45"/>
  <c r="H138" i="45"/>
  <c r="E142" i="38"/>
  <c r="F142" i="38" s="1"/>
  <c r="G142" i="38" s="1"/>
  <c r="D146" i="44"/>
  <c r="G145" i="44"/>
  <c r="E142" i="41"/>
  <c r="F142" i="41" s="1"/>
  <c r="G142" i="41" s="1"/>
  <c r="I141" i="41"/>
  <c r="H141" i="41"/>
  <c r="J144" i="4"/>
  <c r="J138" i="30"/>
  <c r="J139" i="28"/>
  <c r="D146" i="5"/>
  <c r="E146" i="5" s="1"/>
  <c r="G145" i="5"/>
  <c r="G147" i="9"/>
  <c r="D148" i="9"/>
  <c r="E148" i="9" s="1"/>
  <c r="J144" i="3"/>
  <c r="G144" i="25"/>
  <c r="D145" i="25"/>
  <c r="E145" i="25" s="1"/>
  <c r="G143" i="23"/>
  <c r="D144" i="23"/>
  <c r="E144" i="23" s="1"/>
  <c r="G142" i="24"/>
  <c r="D143" i="24"/>
  <c r="E143" i="24" s="1"/>
  <c r="J147" i="10"/>
  <c r="G140" i="28"/>
  <c r="D141" i="28"/>
  <c r="E141" i="28" s="1"/>
  <c r="G148" i="7"/>
  <c r="D149" i="7"/>
  <c r="E149" i="7" s="1"/>
  <c r="G136" i="40"/>
  <c r="D137" i="40"/>
  <c r="E137" i="40" s="1"/>
  <c r="G148" i="10"/>
  <c r="D149" i="10"/>
  <c r="E149" i="10" s="1"/>
  <c r="D148" i="11"/>
  <c r="E148" i="11" s="1"/>
  <c r="G147" i="11"/>
  <c r="G140" i="29"/>
  <c r="D141" i="29"/>
  <c r="E141" i="29" s="1"/>
  <c r="G137" i="39"/>
  <c r="D138" i="39"/>
  <c r="E138" i="39" s="1"/>
  <c r="J139" i="29"/>
  <c r="G145" i="4"/>
  <c r="D146" i="4"/>
  <c r="E146" i="4" s="1"/>
  <c r="G144" i="22"/>
  <c r="D145" i="22"/>
  <c r="E145" i="22" s="1"/>
  <c r="J145" i="6"/>
  <c r="J147" i="7"/>
  <c r="G139" i="30"/>
  <c r="D140" i="30"/>
  <c r="E140" i="30" s="1"/>
  <c r="J145" i="8"/>
  <c r="J139" i="31"/>
  <c r="J144" i="5"/>
  <c r="J140" i="27"/>
  <c r="G137" i="43"/>
  <c r="D138" i="43"/>
  <c r="E138" i="43" s="1"/>
  <c r="G145" i="3"/>
  <c r="D146" i="3"/>
  <c r="E146" i="3" s="1"/>
  <c r="G146" i="8"/>
  <c r="D147" i="8"/>
  <c r="E147" i="8" s="1"/>
  <c r="G140" i="31"/>
  <c r="D141" i="31"/>
  <c r="E141" i="31" s="1"/>
  <c r="G141" i="27"/>
  <c r="D142" i="27"/>
  <c r="E142" i="27" s="1"/>
  <c r="G137" i="37"/>
  <c r="D138" i="37"/>
  <c r="E138" i="37" s="1"/>
  <c r="G146" i="6"/>
  <c r="D147" i="6"/>
  <c r="E147" i="6" s="1"/>
  <c r="G140" i="46" l="1"/>
  <c r="D141" i="46"/>
  <c r="B141" i="46" s="1"/>
  <c r="I139" i="46"/>
  <c r="H139" i="46"/>
  <c r="G138" i="47"/>
  <c r="D139" i="47"/>
  <c r="E139" i="47" s="1"/>
  <c r="G141" i="42"/>
  <c r="I141" i="42" s="1"/>
  <c r="G139" i="45"/>
  <c r="D140" i="45"/>
  <c r="D143" i="38"/>
  <c r="B143" i="38" s="1"/>
  <c r="I145" i="44"/>
  <c r="H145" i="44"/>
  <c r="E146" i="44"/>
  <c r="F146" i="44" s="1"/>
  <c r="B146" i="44"/>
  <c r="D143" i="41"/>
  <c r="B143" i="41" s="1"/>
  <c r="E142" i="42"/>
  <c r="F142" i="42" s="1"/>
  <c r="B142" i="42"/>
  <c r="H142" i="38"/>
  <c r="I142" i="38"/>
  <c r="H142" i="41"/>
  <c r="I142" i="41"/>
  <c r="H146" i="6"/>
  <c r="I146" i="6"/>
  <c r="B146" i="4"/>
  <c r="F146" i="4"/>
  <c r="B138" i="43"/>
  <c r="F138" i="43"/>
  <c r="H139" i="30"/>
  <c r="I139" i="30"/>
  <c r="H145" i="4"/>
  <c r="I145" i="4"/>
  <c r="I137" i="39"/>
  <c r="H137" i="39"/>
  <c r="B138" i="37"/>
  <c r="F138" i="37"/>
  <c r="H141" i="27"/>
  <c r="I141" i="27"/>
  <c r="B146" i="3"/>
  <c r="F146" i="3"/>
  <c r="I137" i="43"/>
  <c r="H137" i="43"/>
  <c r="I144" i="22"/>
  <c r="H144" i="22"/>
  <c r="I147" i="11"/>
  <c r="H147" i="11"/>
  <c r="I148" i="10"/>
  <c r="H148" i="10"/>
  <c r="B141" i="28"/>
  <c r="F141" i="28"/>
  <c r="B143" i="24"/>
  <c r="F143" i="24"/>
  <c r="H143" i="23"/>
  <c r="I143" i="23"/>
  <c r="B141" i="31"/>
  <c r="F141" i="31"/>
  <c r="I146" i="8"/>
  <c r="H146" i="8"/>
  <c r="B142" i="27"/>
  <c r="F142" i="27"/>
  <c r="H140" i="31"/>
  <c r="I140" i="31"/>
  <c r="B147" i="6"/>
  <c r="F147" i="6"/>
  <c r="H137" i="37"/>
  <c r="I137" i="37"/>
  <c r="B147" i="8"/>
  <c r="F147" i="8"/>
  <c r="H145" i="3"/>
  <c r="I145" i="3"/>
  <c r="B141" i="29"/>
  <c r="F141" i="29"/>
  <c r="B148" i="11"/>
  <c r="F148" i="11"/>
  <c r="B149" i="7"/>
  <c r="F149" i="7"/>
  <c r="H140" i="28"/>
  <c r="I140" i="28"/>
  <c r="I142" i="24"/>
  <c r="H142" i="24"/>
  <c r="H145" i="5"/>
  <c r="I145" i="5"/>
  <c r="B140" i="30"/>
  <c r="F140" i="30"/>
  <c r="B138" i="39"/>
  <c r="F138" i="39"/>
  <c r="H140" i="29"/>
  <c r="I140" i="29"/>
  <c r="B137" i="40"/>
  <c r="F137" i="40"/>
  <c r="I148" i="7"/>
  <c r="H148" i="7"/>
  <c r="B145" i="25"/>
  <c r="F145" i="25"/>
  <c r="B148" i="9"/>
  <c r="F148" i="9"/>
  <c r="B146" i="5"/>
  <c r="F146" i="5"/>
  <c r="B145" i="22"/>
  <c r="F145" i="22"/>
  <c r="B149" i="10"/>
  <c r="F149" i="10"/>
  <c r="I136" i="40"/>
  <c r="H136" i="40"/>
  <c r="B144" i="23"/>
  <c r="F144" i="23"/>
  <c r="I144" i="25"/>
  <c r="H144" i="25"/>
  <c r="H147" i="9"/>
  <c r="I147" i="9"/>
  <c r="E141" i="46" l="1"/>
  <c r="F141" i="46" s="1"/>
  <c r="F139" i="47"/>
  <c r="B139" i="47"/>
  <c r="I138" i="47"/>
  <c r="H138" i="47"/>
  <c r="D142" i="46"/>
  <c r="B142" i="46" s="1"/>
  <c r="G141" i="46"/>
  <c r="I140" i="46"/>
  <c r="H140" i="46"/>
  <c r="H141" i="42"/>
  <c r="E140" i="45"/>
  <c r="F140" i="45" s="1"/>
  <c r="B140" i="45"/>
  <c r="I139" i="45"/>
  <c r="H139" i="45"/>
  <c r="E143" i="38"/>
  <c r="F143" i="38" s="1"/>
  <c r="G143" i="38" s="1"/>
  <c r="E143" i="41"/>
  <c r="F143" i="41" s="1"/>
  <c r="D144" i="41" s="1"/>
  <c r="D147" i="44"/>
  <c r="G146" i="44"/>
  <c r="G142" i="42"/>
  <c r="D143" i="42"/>
  <c r="B143" i="42" s="1"/>
  <c r="J145" i="4"/>
  <c r="J146" i="6"/>
  <c r="J148" i="7"/>
  <c r="J146" i="8"/>
  <c r="G144" i="23"/>
  <c r="D145" i="23"/>
  <c r="E145" i="23" s="1"/>
  <c r="G149" i="10"/>
  <c r="D150" i="10"/>
  <c r="E150" i="10" s="1"/>
  <c r="G146" i="5"/>
  <c r="D147" i="5"/>
  <c r="E147" i="5" s="1"/>
  <c r="G145" i="25"/>
  <c r="D146" i="25"/>
  <c r="E146" i="25" s="1"/>
  <c r="G137" i="40"/>
  <c r="D138" i="40"/>
  <c r="E138" i="40" s="1"/>
  <c r="G138" i="39"/>
  <c r="D139" i="39"/>
  <c r="E139" i="39"/>
  <c r="J145" i="5"/>
  <c r="J140" i="28"/>
  <c r="G148" i="11"/>
  <c r="D149" i="11"/>
  <c r="E149" i="11" s="1"/>
  <c r="J145" i="3"/>
  <c r="J140" i="31"/>
  <c r="G141" i="28"/>
  <c r="D142" i="28"/>
  <c r="E142" i="28" s="1"/>
  <c r="J141" i="27"/>
  <c r="J139" i="30"/>
  <c r="G146" i="4"/>
  <c r="D147" i="4"/>
  <c r="E147" i="4" s="1"/>
  <c r="G145" i="22"/>
  <c r="D146" i="22"/>
  <c r="E146" i="22" s="1"/>
  <c r="G148" i="9"/>
  <c r="D149" i="9"/>
  <c r="E149" i="9" s="1"/>
  <c r="J140" i="29"/>
  <c r="G140" i="30"/>
  <c r="D141" i="30"/>
  <c r="E141" i="30" s="1"/>
  <c r="G149" i="7"/>
  <c r="D150" i="7"/>
  <c r="E150" i="7" s="1"/>
  <c r="G141" i="29"/>
  <c r="D142" i="29"/>
  <c r="E142" i="29" s="1"/>
  <c r="G147" i="8"/>
  <c r="D148" i="8"/>
  <c r="E148" i="8" s="1"/>
  <c r="G147" i="6"/>
  <c r="D148" i="6"/>
  <c r="E148" i="6" s="1"/>
  <c r="G142" i="27"/>
  <c r="D143" i="27"/>
  <c r="E143" i="27" s="1"/>
  <c r="G141" i="31"/>
  <c r="D142" i="31"/>
  <c r="E142" i="31" s="1"/>
  <c r="G143" i="24"/>
  <c r="D144" i="24"/>
  <c r="E144" i="24" s="1"/>
  <c r="G146" i="3"/>
  <c r="D147" i="3"/>
  <c r="G138" i="37"/>
  <c r="D139" i="37"/>
  <c r="E139" i="37" s="1"/>
  <c r="G138" i="43"/>
  <c r="D139" i="43"/>
  <c r="E139" i="43"/>
  <c r="J148" i="10"/>
  <c r="E142" i="46" l="1"/>
  <c r="F142" i="46" s="1"/>
  <c r="I141" i="46"/>
  <c r="H141" i="46"/>
  <c r="G139" i="47"/>
  <c r="D140" i="47"/>
  <c r="E140" i="47" s="1"/>
  <c r="G140" i="45"/>
  <c r="D141" i="45"/>
  <c r="B141" i="45" s="1"/>
  <c r="D144" i="38"/>
  <c r="B144" i="38" s="1"/>
  <c r="G143" i="41"/>
  <c r="I143" i="41" s="1"/>
  <c r="I146" i="44"/>
  <c r="H146" i="44"/>
  <c r="E147" i="44"/>
  <c r="F147" i="44" s="1"/>
  <c r="B147" i="44"/>
  <c r="E143" i="42"/>
  <c r="F143" i="42" s="1"/>
  <c r="D144" i="42" s="1"/>
  <c r="H143" i="38"/>
  <c r="I143" i="38"/>
  <c r="E144" i="41"/>
  <c r="F144" i="41" s="1"/>
  <c r="B144" i="41"/>
  <c r="I142" i="42"/>
  <c r="H142" i="42"/>
  <c r="B147" i="3"/>
  <c r="B143" i="27"/>
  <c r="F143" i="27"/>
  <c r="H147" i="6"/>
  <c r="I147" i="6"/>
  <c r="B139" i="43"/>
  <c r="F139" i="43"/>
  <c r="I138" i="37"/>
  <c r="H138" i="37"/>
  <c r="B142" i="31"/>
  <c r="F142" i="31"/>
  <c r="H142" i="27"/>
  <c r="I142" i="27"/>
  <c r="B142" i="29"/>
  <c r="F142" i="29"/>
  <c r="H149" i="7"/>
  <c r="I149" i="7"/>
  <c r="B147" i="4"/>
  <c r="F147" i="4"/>
  <c r="I138" i="39"/>
  <c r="H138" i="39"/>
  <c r="B147" i="5"/>
  <c r="F147" i="5"/>
  <c r="H149" i="10"/>
  <c r="I149" i="10"/>
  <c r="B139" i="37"/>
  <c r="F139" i="37"/>
  <c r="H146" i="3"/>
  <c r="I146" i="3"/>
  <c r="I138" i="43"/>
  <c r="H138" i="43"/>
  <c r="E147" i="3"/>
  <c r="F147" i="3" s="1"/>
  <c r="B144" i="24"/>
  <c r="F144" i="24"/>
  <c r="H141" i="31"/>
  <c r="I141" i="31"/>
  <c r="B148" i="8"/>
  <c r="F148" i="8"/>
  <c r="H141" i="29"/>
  <c r="I141" i="29"/>
  <c r="B146" i="22"/>
  <c r="F146" i="22"/>
  <c r="H146" i="4"/>
  <c r="I146" i="4"/>
  <c r="F142" i="28"/>
  <c r="B142" i="28"/>
  <c r="B146" i="25"/>
  <c r="F146" i="25"/>
  <c r="I146" i="5"/>
  <c r="H146" i="5"/>
  <c r="B148" i="6"/>
  <c r="F148" i="6"/>
  <c r="H147" i="8"/>
  <c r="I147" i="8"/>
  <c r="B141" i="30"/>
  <c r="F141" i="30"/>
  <c r="B149" i="9"/>
  <c r="F149" i="9"/>
  <c r="H145" i="22"/>
  <c r="I145" i="22"/>
  <c r="H141" i="28"/>
  <c r="I141" i="28"/>
  <c r="B149" i="11"/>
  <c r="F149" i="11"/>
  <c r="B138" i="40"/>
  <c r="F138" i="40"/>
  <c r="I145" i="25"/>
  <c r="H145" i="25"/>
  <c r="B145" i="23"/>
  <c r="F145" i="23"/>
  <c r="H143" i="24"/>
  <c r="I143" i="24"/>
  <c r="B150" i="7"/>
  <c r="F150" i="7"/>
  <c r="I140" i="30"/>
  <c r="H140" i="30"/>
  <c r="I148" i="9"/>
  <c r="H148" i="9"/>
  <c r="I148" i="11"/>
  <c r="H148" i="11"/>
  <c r="B139" i="39"/>
  <c r="F139" i="39"/>
  <c r="H137" i="40"/>
  <c r="I137" i="40"/>
  <c r="B150" i="10"/>
  <c r="F150" i="10"/>
  <c r="I144" i="23"/>
  <c r="H144" i="23"/>
  <c r="H139" i="47" l="1"/>
  <c r="I139" i="47"/>
  <c r="F140" i="47"/>
  <c r="B140" i="47"/>
  <c r="G142" i="46"/>
  <c r="D143" i="46"/>
  <c r="B143" i="46" s="1"/>
  <c r="H143" i="41"/>
  <c r="E141" i="45"/>
  <c r="F141" i="45" s="1"/>
  <c r="G141" i="45" s="1"/>
  <c r="E144" i="38"/>
  <c r="F144" i="38" s="1"/>
  <c r="D145" i="38" s="1"/>
  <c r="B145" i="38" s="1"/>
  <c r="H140" i="45"/>
  <c r="I140" i="45"/>
  <c r="D148" i="44"/>
  <c r="G147" i="44"/>
  <c r="G143" i="42"/>
  <c r="I143" i="42" s="1"/>
  <c r="J146" i="4"/>
  <c r="J141" i="29"/>
  <c r="J141" i="31"/>
  <c r="E144" i="42"/>
  <c r="F144" i="42" s="1"/>
  <c r="B144" i="42"/>
  <c r="D145" i="41"/>
  <c r="G144" i="41"/>
  <c r="J146" i="5"/>
  <c r="J146" i="3"/>
  <c r="J149" i="10"/>
  <c r="J149" i="7"/>
  <c r="D148" i="3"/>
  <c r="E148" i="3" s="1"/>
  <c r="G147" i="3"/>
  <c r="D150" i="11"/>
  <c r="G149" i="11"/>
  <c r="G141" i="30"/>
  <c r="D142" i="30"/>
  <c r="E142" i="30" s="1"/>
  <c r="G146" i="25"/>
  <c r="D147" i="25"/>
  <c r="E147" i="25" s="1"/>
  <c r="J140" i="30"/>
  <c r="G139" i="37"/>
  <c r="D140" i="37"/>
  <c r="E140" i="37" s="1"/>
  <c r="G147" i="5"/>
  <c r="D148" i="5"/>
  <c r="E148" i="5" s="1"/>
  <c r="G147" i="4"/>
  <c r="D148" i="4"/>
  <c r="E148" i="4" s="1"/>
  <c r="G142" i="29"/>
  <c r="D143" i="29"/>
  <c r="E143" i="29" s="1"/>
  <c r="G142" i="31"/>
  <c r="D143" i="31"/>
  <c r="E143" i="31" s="1"/>
  <c r="G139" i="43"/>
  <c r="D140" i="43"/>
  <c r="E140" i="43" s="1"/>
  <c r="G143" i="27"/>
  <c r="D144" i="27"/>
  <c r="E144" i="27" s="1"/>
  <c r="G142" i="28"/>
  <c r="D143" i="28"/>
  <c r="E143" i="28" s="1"/>
  <c r="G148" i="6"/>
  <c r="D149" i="6"/>
  <c r="E149" i="6" s="1"/>
  <c r="G150" i="10"/>
  <c r="D151" i="10"/>
  <c r="E151" i="10" s="1"/>
  <c r="G139" i="39"/>
  <c r="D140" i="39"/>
  <c r="E140" i="39" s="1"/>
  <c r="G150" i="7"/>
  <c r="D151" i="7"/>
  <c r="G145" i="23"/>
  <c r="D146" i="23"/>
  <c r="E146" i="23" s="1"/>
  <c r="G138" i="40"/>
  <c r="D139" i="40"/>
  <c r="E139" i="40" s="1"/>
  <c r="J141" i="28"/>
  <c r="G149" i="9"/>
  <c r="D150" i="9"/>
  <c r="E150" i="9" s="1"/>
  <c r="J147" i="8"/>
  <c r="G146" i="22"/>
  <c r="D147" i="22"/>
  <c r="E147" i="22" s="1"/>
  <c r="G148" i="8"/>
  <c r="D149" i="8"/>
  <c r="E149" i="8" s="1"/>
  <c r="D145" i="24"/>
  <c r="E145" i="24" s="1"/>
  <c r="G144" i="24"/>
  <c r="J142" i="27"/>
  <c r="J147" i="6"/>
  <c r="E143" i="46" l="1"/>
  <c r="F143" i="46" s="1"/>
  <c r="D141" i="47"/>
  <c r="G140" i="47"/>
  <c r="I142" i="46"/>
  <c r="H142" i="46"/>
  <c r="D142" i="45"/>
  <c r="B142" i="45" s="1"/>
  <c r="G144" i="38"/>
  <c r="H144" i="38" s="1"/>
  <c r="E145" i="38"/>
  <c r="F145" i="38" s="1"/>
  <c r="D146" i="38" s="1"/>
  <c r="B146" i="38" s="1"/>
  <c r="H141" i="45"/>
  <c r="I141" i="45"/>
  <c r="H143" i="42"/>
  <c r="H147" i="44"/>
  <c r="I147" i="44"/>
  <c r="E148" i="44"/>
  <c r="F148" i="44" s="1"/>
  <c r="B148" i="44"/>
  <c r="G144" i="42"/>
  <c r="D145" i="42"/>
  <c r="B145" i="42" s="1"/>
  <c r="H144" i="41"/>
  <c r="I144" i="41"/>
  <c r="E145" i="41"/>
  <c r="F145" i="41" s="1"/>
  <c r="B145" i="41"/>
  <c r="H144" i="24"/>
  <c r="I144" i="24"/>
  <c r="H148" i="8"/>
  <c r="I148" i="8"/>
  <c r="B151" i="7"/>
  <c r="H139" i="39"/>
  <c r="I139" i="39"/>
  <c r="B143" i="28"/>
  <c r="F143" i="28"/>
  <c r="H143" i="27"/>
  <c r="I143" i="27"/>
  <c r="B143" i="29"/>
  <c r="F143" i="29"/>
  <c r="H147" i="4"/>
  <c r="I147" i="4"/>
  <c r="B142" i="30"/>
  <c r="F142" i="30"/>
  <c r="B150" i="11"/>
  <c r="B145" i="24"/>
  <c r="F145" i="24"/>
  <c r="B146" i="23"/>
  <c r="F146" i="23"/>
  <c r="H150" i="7"/>
  <c r="I150" i="7"/>
  <c r="B149" i="6"/>
  <c r="F149" i="6"/>
  <c r="H142" i="28"/>
  <c r="I142" i="28"/>
  <c r="B143" i="31"/>
  <c r="F143" i="31"/>
  <c r="H142" i="29"/>
  <c r="I142" i="29"/>
  <c r="B140" i="37"/>
  <c r="F140" i="37"/>
  <c r="B147" i="25"/>
  <c r="F147" i="25"/>
  <c r="H141" i="30"/>
  <c r="I141" i="30"/>
  <c r="B147" i="22"/>
  <c r="F147" i="22"/>
  <c r="B150" i="9"/>
  <c r="F150" i="9"/>
  <c r="B139" i="40"/>
  <c r="F139" i="40"/>
  <c r="I145" i="23"/>
  <c r="H145" i="23"/>
  <c r="B151" i="10"/>
  <c r="F151" i="10"/>
  <c r="H148" i="6"/>
  <c r="I148" i="6"/>
  <c r="B140" i="43"/>
  <c r="F140" i="43"/>
  <c r="H142" i="31"/>
  <c r="I142" i="31"/>
  <c r="B148" i="5"/>
  <c r="F148" i="5"/>
  <c r="H139" i="37"/>
  <c r="I139" i="37"/>
  <c r="I146" i="25"/>
  <c r="H146" i="25"/>
  <c r="E150" i="11"/>
  <c r="F150" i="11" s="1"/>
  <c r="H147" i="3"/>
  <c r="I147" i="3"/>
  <c r="B149" i="8"/>
  <c r="F149" i="8"/>
  <c r="H146" i="22"/>
  <c r="I146" i="22"/>
  <c r="H149" i="9"/>
  <c r="I149" i="9"/>
  <c r="I138" i="40"/>
  <c r="H138" i="40"/>
  <c r="E151" i="7"/>
  <c r="F151" i="7" s="1"/>
  <c r="B140" i="39"/>
  <c r="F140" i="39"/>
  <c r="H150" i="10"/>
  <c r="I150" i="10"/>
  <c r="B144" i="27"/>
  <c r="F144" i="27"/>
  <c r="I139" i="43"/>
  <c r="H139" i="43"/>
  <c r="B148" i="4"/>
  <c r="F148" i="4"/>
  <c r="H147" i="5"/>
  <c r="I147" i="5"/>
  <c r="I149" i="11"/>
  <c r="H149" i="11"/>
  <c r="B148" i="3"/>
  <c r="F148" i="3"/>
  <c r="I140" i="47" l="1"/>
  <c r="H140" i="47"/>
  <c r="E141" i="47"/>
  <c r="F141" i="47"/>
  <c r="B141" i="47"/>
  <c r="G143" i="46"/>
  <c r="D144" i="46"/>
  <c r="B144" i="46" s="1"/>
  <c r="E144" i="46"/>
  <c r="F144" i="46" s="1"/>
  <c r="I144" i="38"/>
  <c r="E142" i="45"/>
  <c r="F142" i="45" s="1"/>
  <c r="G142" i="45" s="1"/>
  <c r="G145" i="38"/>
  <c r="H145" i="38" s="1"/>
  <c r="E146" i="38"/>
  <c r="F146" i="38" s="1"/>
  <c r="D147" i="38" s="1"/>
  <c r="B147" i="38" s="1"/>
  <c r="D149" i="44"/>
  <c r="G148" i="44"/>
  <c r="E145" i="42"/>
  <c r="F145" i="42" s="1"/>
  <c r="G145" i="42" s="1"/>
  <c r="J147" i="3"/>
  <c r="G145" i="41"/>
  <c r="D146" i="41"/>
  <c r="H144" i="42"/>
  <c r="I144" i="42"/>
  <c r="J147" i="4"/>
  <c r="J143" i="27"/>
  <c r="J148" i="8"/>
  <c r="J142" i="31"/>
  <c r="J148" i="6"/>
  <c r="J141" i="30"/>
  <c r="G151" i="7"/>
  <c r="D152" i="7"/>
  <c r="E152" i="7" s="1"/>
  <c r="D151" i="11"/>
  <c r="E151" i="11" s="1"/>
  <c r="G150" i="11"/>
  <c r="G148" i="4"/>
  <c r="D149" i="4"/>
  <c r="G144" i="27"/>
  <c r="D145" i="27"/>
  <c r="E145" i="27" s="1"/>
  <c r="G140" i="39"/>
  <c r="D141" i="39"/>
  <c r="E141" i="39" s="1"/>
  <c r="G150" i="9"/>
  <c r="D151" i="9"/>
  <c r="E151" i="9" s="1"/>
  <c r="G140" i="37"/>
  <c r="D141" i="37"/>
  <c r="E141" i="37" s="1"/>
  <c r="G143" i="31"/>
  <c r="D144" i="31"/>
  <c r="E144" i="31" s="1"/>
  <c r="G149" i="6"/>
  <c r="D150" i="6"/>
  <c r="E150" i="6" s="1"/>
  <c r="G146" i="23"/>
  <c r="D147" i="23"/>
  <c r="E147" i="23" s="1"/>
  <c r="G149" i="8"/>
  <c r="D150" i="8"/>
  <c r="G148" i="3"/>
  <c r="D149" i="3"/>
  <c r="E149" i="3" s="1"/>
  <c r="J147" i="5"/>
  <c r="J150" i="10"/>
  <c r="G148" i="5"/>
  <c r="D149" i="5"/>
  <c r="G140" i="43"/>
  <c r="D141" i="43"/>
  <c r="E141" i="43" s="1"/>
  <c r="G151" i="10"/>
  <c r="D152" i="10"/>
  <c r="E152" i="10" s="1"/>
  <c r="G139" i="40"/>
  <c r="D140" i="40"/>
  <c r="E140" i="40" s="1"/>
  <c r="G147" i="22"/>
  <c r="D148" i="22"/>
  <c r="G147" i="25"/>
  <c r="D148" i="25"/>
  <c r="E148" i="25" s="1"/>
  <c r="J142" i="29"/>
  <c r="J142" i="28"/>
  <c r="J150" i="7"/>
  <c r="G145" i="24"/>
  <c r="D146" i="24"/>
  <c r="E146" i="24" s="1"/>
  <c r="G142" i="30"/>
  <c r="D143" i="30"/>
  <c r="E143" i="30" s="1"/>
  <c r="G143" i="29"/>
  <c r="D144" i="29"/>
  <c r="E144" i="29" s="1"/>
  <c r="D144" i="28"/>
  <c r="E144" i="28" s="1"/>
  <c r="G143" i="28"/>
  <c r="D145" i="46" l="1"/>
  <c r="B145" i="46" s="1"/>
  <c r="G144" i="46"/>
  <c r="D142" i="47"/>
  <c r="G141" i="47"/>
  <c r="H143" i="46"/>
  <c r="I143" i="46"/>
  <c r="I145" i="38"/>
  <c r="D143" i="45"/>
  <c r="B143" i="45" s="1"/>
  <c r="G146" i="38"/>
  <c r="H146" i="38" s="1"/>
  <c r="E147" i="38"/>
  <c r="F147" i="38" s="1"/>
  <c r="D148" i="38" s="1"/>
  <c r="H142" i="45"/>
  <c r="I142" i="45"/>
  <c r="I148" i="44"/>
  <c r="H148" i="44"/>
  <c r="D146" i="42"/>
  <c r="E146" i="42" s="1"/>
  <c r="F146" i="42" s="1"/>
  <c r="E149" i="44"/>
  <c r="F149" i="44" s="1"/>
  <c r="B149" i="44"/>
  <c r="E146" i="41"/>
  <c r="F146" i="41" s="1"/>
  <c r="B146" i="41"/>
  <c r="H145" i="41"/>
  <c r="I145" i="41"/>
  <c r="I145" i="42"/>
  <c r="H145" i="42"/>
  <c r="B143" i="30"/>
  <c r="F143" i="30"/>
  <c r="I145" i="24"/>
  <c r="H145" i="24"/>
  <c r="B148" i="22"/>
  <c r="I139" i="40"/>
  <c r="H139" i="40"/>
  <c r="B149" i="5"/>
  <c r="B150" i="8"/>
  <c r="I146" i="23"/>
  <c r="H146" i="23"/>
  <c r="B141" i="37"/>
  <c r="F141" i="37"/>
  <c r="I150" i="9"/>
  <c r="H150" i="9"/>
  <c r="B149" i="4"/>
  <c r="B151" i="11"/>
  <c r="F151" i="11"/>
  <c r="B149" i="3"/>
  <c r="F149" i="3"/>
  <c r="H149" i="8"/>
  <c r="I149" i="8"/>
  <c r="F144" i="31"/>
  <c r="B144" i="31"/>
  <c r="H140" i="37"/>
  <c r="I140" i="37"/>
  <c r="B145" i="27"/>
  <c r="F145" i="27"/>
  <c r="H148" i="4"/>
  <c r="I148" i="4"/>
  <c r="B144" i="29"/>
  <c r="F144" i="29"/>
  <c r="I142" i="30"/>
  <c r="H142" i="30"/>
  <c r="I147" i="22"/>
  <c r="H147" i="22"/>
  <c r="B141" i="43"/>
  <c r="F141" i="43"/>
  <c r="H148" i="5"/>
  <c r="I148" i="5"/>
  <c r="H143" i="28"/>
  <c r="I143" i="28"/>
  <c r="H143" i="29"/>
  <c r="I143" i="29"/>
  <c r="I147" i="25"/>
  <c r="H147" i="25"/>
  <c r="B152" i="10"/>
  <c r="F152" i="10"/>
  <c r="H140" i="43"/>
  <c r="I140" i="43"/>
  <c r="I148" i="3"/>
  <c r="H148" i="3"/>
  <c r="B150" i="6"/>
  <c r="F150" i="6"/>
  <c r="I143" i="31"/>
  <c r="H143" i="31"/>
  <c r="B141" i="39"/>
  <c r="F141" i="39"/>
  <c r="I144" i="27"/>
  <c r="H144" i="27"/>
  <c r="B152" i="7"/>
  <c r="F152" i="7"/>
  <c r="B148" i="25"/>
  <c r="F148" i="25"/>
  <c r="B144" i="28"/>
  <c r="F144" i="28"/>
  <c r="B146" i="24"/>
  <c r="F146" i="24"/>
  <c r="E148" i="22"/>
  <c r="F148" i="22" s="1"/>
  <c r="B140" i="40"/>
  <c r="F140" i="40"/>
  <c r="I151" i="10"/>
  <c r="H151" i="10"/>
  <c r="E149" i="5"/>
  <c r="F149" i="5" s="1"/>
  <c r="E150" i="8"/>
  <c r="F150" i="8" s="1"/>
  <c r="B147" i="23"/>
  <c r="F147" i="23"/>
  <c r="I149" i="6"/>
  <c r="H149" i="6"/>
  <c r="B151" i="9"/>
  <c r="F151" i="9"/>
  <c r="I140" i="39"/>
  <c r="H140" i="39"/>
  <c r="E149" i="4"/>
  <c r="F149" i="4" s="1"/>
  <c r="H150" i="11"/>
  <c r="I150" i="11"/>
  <c r="I151" i="7"/>
  <c r="H151" i="7"/>
  <c r="E142" i="47" l="1"/>
  <c r="F142" i="47" s="1"/>
  <c r="B142" i="47"/>
  <c r="I144" i="46"/>
  <c r="H144" i="46"/>
  <c r="E145" i="46"/>
  <c r="F145" i="46" s="1"/>
  <c r="H141" i="47"/>
  <c r="I141" i="47"/>
  <c r="E143" i="45"/>
  <c r="F143" i="45" s="1"/>
  <c r="G147" i="38"/>
  <c r="I147" i="38" s="1"/>
  <c r="I146" i="38"/>
  <c r="D150" i="44"/>
  <c r="B150" i="44" s="1"/>
  <c r="G149" i="44"/>
  <c r="B146" i="42"/>
  <c r="D147" i="42"/>
  <c r="G146" i="42"/>
  <c r="D147" i="41"/>
  <c r="G146" i="41"/>
  <c r="H147" i="38"/>
  <c r="E148" i="38"/>
  <c r="F148" i="38" s="1"/>
  <c r="B148" i="38"/>
  <c r="J142" i="30"/>
  <c r="J151" i="7"/>
  <c r="J144" i="27"/>
  <c r="J143" i="31"/>
  <c r="J148" i="3"/>
  <c r="G148" i="22"/>
  <c r="D149" i="22"/>
  <c r="E149" i="22" s="1"/>
  <c r="G149" i="4"/>
  <c r="D150" i="4"/>
  <c r="E150" i="4" s="1"/>
  <c r="G150" i="8"/>
  <c r="D151" i="8"/>
  <c r="G149" i="5"/>
  <c r="D150" i="5"/>
  <c r="E150" i="5" s="1"/>
  <c r="J151" i="10"/>
  <c r="G146" i="24"/>
  <c r="D147" i="24"/>
  <c r="E147" i="24" s="1"/>
  <c r="G148" i="25"/>
  <c r="D149" i="25"/>
  <c r="E149" i="25" s="1"/>
  <c r="G152" i="10"/>
  <c r="D153" i="10"/>
  <c r="E153" i="10" s="1"/>
  <c r="J143" i="29"/>
  <c r="J148" i="5"/>
  <c r="G144" i="29"/>
  <c r="D145" i="29"/>
  <c r="E145" i="29" s="1"/>
  <c r="G145" i="27"/>
  <c r="D146" i="27"/>
  <c r="E146" i="27" s="1"/>
  <c r="G149" i="3"/>
  <c r="D150" i="3"/>
  <c r="G141" i="37"/>
  <c r="D142" i="37"/>
  <c r="E142" i="37" s="1"/>
  <c r="G144" i="31"/>
  <c r="D145" i="31"/>
  <c r="E145" i="31" s="1"/>
  <c r="G140" i="40"/>
  <c r="D141" i="40"/>
  <c r="E141" i="40" s="1"/>
  <c r="J149" i="6"/>
  <c r="G144" i="28"/>
  <c r="D145" i="28"/>
  <c r="E145" i="28" s="1"/>
  <c r="D153" i="7"/>
  <c r="G152" i="7"/>
  <c r="G141" i="39"/>
  <c r="D142" i="39"/>
  <c r="E142" i="39" s="1"/>
  <c r="G150" i="6"/>
  <c r="D151" i="6"/>
  <c r="E151" i="6" s="1"/>
  <c r="J143" i="28"/>
  <c r="G141" i="43"/>
  <c r="D142" i="43"/>
  <c r="E142" i="43" s="1"/>
  <c r="J148" i="4"/>
  <c r="J149" i="8"/>
  <c r="G151" i="11"/>
  <c r="D152" i="11"/>
  <c r="E152" i="11" s="1"/>
  <c r="G143" i="30"/>
  <c r="D144" i="30"/>
  <c r="E144" i="30" s="1"/>
  <c r="D152" i="9"/>
  <c r="E152" i="9" s="1"/>
  <c r="G151" i="9"/>
  <c r="G147" i="23"/>
  <c r="D148" i="23"/>
  <c r="D143" i="47" l="1"/>
  <c r="G142" i="47"/>
  <c r="D146" i="46"/>
  <c r="B146" i="46" s="1"/>
  <c r="G145" i="46"/>
  <c r="G143" i="45"/>
  <c r="D144" i="45"/>
  <c r="B144" i="45" s="1"/>
  <c r="E150" i="44"/>
  <c r="F150" i="44" s="1"/>
  <c r="G150" i="44" s="1"/>
  <c r="I149" i="44"/>
  <c r="H149" i="44"/>
  <c r="E147" i="41"/>
  <c r="F147" i="41" s="1"/>
  <c r="B147" i="41"/>
  <c r="D149" i="38"/>
  <c r="G148" i="38"/>
  <c r="I146" i="42"/>
  <c r="H146" i="42"/>
  <c r="H146" i="41"/>
  <c r="I146" i="41"/>
  <c r="E147" i="42"/>
  <c r="F147" i="42" s="1"/>
  <c r="B147" i="42"/>
  <c r="H147" i="23"/>
  <c r="I147" i="23"/>
  <c r="B148" i="23"/>
  <c r="B152" i="9"/>
  <c r="F152" i="9"/>
  <c r="H152" i="7"/>
  <c r="I152" i="7"/>
  <c r="H144" i="28"/>
  <c r="I144" i="28"/>
  <c r="H140" i="40"/>
  <c r="I140" i="40"/>
  <c r="B150" i="3"/>
  <c r="H145" i="27"/>
  <c r="I145" i="27"/>
  <c r="I152" i="10"/>
  <c r="H152" i="10"/>
  <c r="B151" i="8"/>
  <c r="H149" i="4"/>
  <c r="I149" i="4"/>
  <c r="B152" i="11"/>
  <c r="F152" i="11"/>
  <c r="B142" i="39"/>
  <c r="F142" i="39"/>
  <c r="B153" i="7"/>
  <c r="B142" i="37"/>
  <c r="F142" i="37"/>
  <c r="H149" i="3"/>
  <c r="I149" i="3"/>
  <c r="B147" i="24"/>
  <c r="F147" i="24"/>
  <c r="B150" i="5"/>
  <c r="F150" i="5"/>
  <c r="I150" i="8"/>
  <c r="H150" i="8"/>
  <c r="B142" i="43"/>
  <c r="F142" i="43"/>
  <c r="B151" i="6"/>
  <c r="F151" i="6"/>
  <c r="H141" i="39"/>
  <c r="I141" i="39"/>
  <c r="B145" i="31"/>
  <c r="F145" i="31"/>
  <c r="I141" i="37"/>
  <c r="H141" i="37"/>
  <c r="B145" i="29"/>
  <c r="F145" i="29"/>
  <c r="B149" i="25"/>
  <c r="F149" i="25"/>
  <c r="H146" i="24"/>
  <c r="I146" i="24"/>
  <c r="H149" i="5"/>
  <c r="I149" i="5"/>
  <c r="B149" i="22"/>
  <c r="F149" i="22"/>
  <c r="B144" i="30"/>
  <c r="F144" i="30"/>
  <c r="I151" i="11"/>
  <c r="H151" i="11"/>
  <c r="E148" i="23"/>
  <c r="F148" i="23" s="1"/>
  <c r="I151" i="9"/>
  <c r="H151" i="9"/>
  <c r="H143" i="30"/>
  <c r="I143" i="30"/>
  <c r="I141" i="43"/>
  <c r="H141" i="43"/>
  <c r="H150" i="6"/>
  <c r="I150" i="6"/>
  <c r="E153" i="7"/>
  <c r="F153" i="7" s="1"/>
  <c r="B145" i="28"/>
  <c r="F145" i="28"/>
  <c r="B141" i="40"/>
  <c r="F141" i="40"/>
  <c r="I144" i="31"/>
  <c r="H144" i="31"/>
  <c r="E150" i="3"/>
  <c r="F150" i="3" s="1"/>
  <c r="B146" i="27"/>
  <c r="F146" i="27"/>
  <c r="H144" i="29"/>
  <c r="I144" i="29"/>
  <c r="B153" i="10"/>
  <c r="F153" i="10"/>
  <c r="I148" i="25"/>
  <c r="H148" i="25"/>
  <c r="E151" i="8"/>
  <c r="F151" i="8" s="1"/>
  <c r="B150" i="4"/>
  <c r="F150" i="4"/>
  <c r="I148" i="22"/>
  <c r="H148" i="22"/>
  <c r="I145" i="46" l="1"/>
  <c r="H145" i="46"/>
  <c r="H142" i="47"/>
  <c r="I142" i="47"/>
  <c r="E146" i="46"/>
  <c r="F146" i="46" s="1"/>
  <c r="E143" i="47"/>
  <c r="F143" i="47" s="1"/>
  <c r="B143" i="47"/>
  <c r="H143" i="45"/>
  <c r="I143" i="45"/>
  <c r="E144" i="45"/>
  <c r="F144" i="45" s="1"/>
  <c r="D151" i="44"/>
  <c r="E151" i="44" s="1"/>
  <c r="F151" i="44" s="1"/>
  <c r="H150" i="44"/>
  <c r="I150" i="44"/>
  <c r="J144" i="29"/>
  <c r="E149" i="38"/>
  <c r="F149" i="38" s="1"/>
  <c r="B149" i="38"/>
  <c r="G147" i="42"/>
  <c r="D148" i="42"/>
  <c r="G147" i="41"/>
  <c r="D148" i="41"/>
  <c r="B148" i="41" s="1"/>
  <c r="I148" i="38"/>
  <c r="H148" i="38"/>
  <c r="J150" i="6"/>
  <c r="J143" i="30"/>
  <c r="J145" i="27"/>
  <c r="J144" i="31"/>
  <c r="J152" i="10"/>
  <c r="J150" i="8"/>
  <c r="G151" i="8"/>
  <c r="D152" i="8"/>
  <c r="E152" i="8" s="1"/>
  <c r="G153" i="7"/>
  <c r="D154" i="7"/>
  <c r="E154" i="7" s="1"/>
  <c r="E155" i="7" s="1"/>
  <c r="G148" i="23"/>
  <c r="D149" i="23"/>
  <c r="D151" i="3"/>
  <c r="E151" i="3" s="1"/>
  <c r="G150" i="3"/>
  <c r="G153" i="10"/>
  <c r="D154" i="10"/>
  <c r="E154" i="10" s="1"/>
  <c r="E155" i="10" s="1"/>
  <c r="G141" i="40"/>
  <c r="D142" i="40"/>
  <c r="E142" i="40" s="1"/>
  <c r="G144" i="30"/>
  <c r="D145" i="30"/>
  <c r="E145" i="30" s="1"/>
  <c r="J149" i="5"/>
  <c r="G149" i="25"/>
  <c r="D150" i="25"/>
  <c r="G142" i="43"/>
  <c r="D143" i="43"/>
  <c r="E143" i="43" s="1"/>
  <c r="G150" i="5"/>
  <c r="D151" i="5"/>
  <c r="E151" i="5" s="1"/>
  <c r="J149" i="3"/>
  <c r="G152" i="11"/>
  <c r="D153" i="11"/>
  <c r="E153" i="11" s="1"/>
  <c r="J152" i="7"/>
  <c r="G150" i="4"/>
  <c r="D151" i="4"/>
  <c r="E151" i="4" s="1"/>
  <c r="G145" i="28"/>
  <c r="D146" i="28"/>
  <c r="E146" i="28" s="1"/>
  <c r="G149" i="22"/>
  <c r="D150" i="22"/>
  <c r="G145" i="29"/>
  <c r="D146" i="29"/>
  <c r="E146" i="29" s="1"/>
  <c r="G145" i="31"/>
  <c r="D146" i="31"/>
  <c r="E146" i="31" s="1"/>
  <c r="D152" i="6"/>
  <c r="E152" i="6" s="1"/>
  <c r="G151" i="6"/>
  <c r="G147" i="24"/>
  <c r="D148" i="24"/>
  <c r="G142" i="37"/>
  <c r="D143" i="37"/>
  <c r="E143" i="37" s="1"/>
  <c r="G142" i="39"/>
  <c r="D143" i="39"/>
  <c r="E143" i="39" s="1"/>
  <c r="J149" i="4"/>
  <c r="J144" i="28"/>
  <c r="D153" i="9"/>
  <c r="E153" i="9" s="1"/>
  <c r="G152" i="9"/>
  <c r="G146" i="27"/>
  <c r="D147" i="27"/>
  <c r="E147" i="27" s="1"/>
  <c r="G143" i="47" l="1"/>
  <c r="D144" i="47"/>
  <c r="B144" i="47" s="1"/>
  <c r="G146" i="46"/>
  <c r="D147" i="46"/>
  <c r="B147" i="46" s="1"/>
  <c r="G144" i="45"/>
  <c r="D145" i="45"/>
  <c r="B145" i="45" s="1"/>
  <c r="B151" i="44"/>
  <c r="G151" i="44"/>
  <c r="D152" i="44"/>
  <c r="E148" i="41"/>
  <c r="F148" i="41" s="1"/>
  <c r="G148" i="41" s="1"/>
  <c r="H147" i="41"/>
  <c r="I147" i="41"/>
  <c r="D150" i="38"/>
  <c r="G149" i="38"/>
  <c r="I147" i="42"/>
  <c r="H147" i="42"/>
  <c r="E148" i="42"/>
  <c r="F148" i="42" s="1"/>
  <c r="B148" i="42"/>
  <c r="B148" i="24"/>
  <c r="F152" i="6"/>
  <c r="B152" i="6"/>
  <c r="B150" i="22"/>
  <c r="H145" i="28"/>
  <c r="I145" i="28"/>
  <c r="B150" i="25"/>
  <c r="B145" i="30"/>
  <c r="F145" i="30"/>
  <c r="I141" i="40"/>
  <c r="H141" i="40"/>
  <c r="B149" i="23"/>
  <c r="I153" i="7"/>
  <c r="H153" i="7"/>
  <c r="B153" i="9"/>
  <c r="F153" i="9"/>
  <c r="H152" i="9"/>
  <c r="I152" i="9"/>
  <c r="B143" i="37"/>
  <c r="F143" i="37"/>
  <c r="H147" i="24"/>
  <c r="I147" i="24"/>
  <c r="B146" i="29"/>
  <c r="F146" i="29"/>
  <c r="H149" i="22"/>
  <c r="I149" i="22"/>
  <c r="B143" i="43"/>
  <c r="F143" i="43"/>
  <c r="H149" i="25"/>
  <c r="I149" i="25"/>
  <c r="H144" i="30"/>
  <c r="I144" i="30"/>
  <c r="H150" i="3"/>
  <c r="I150" i="3"/>
  <c r="H148" i="23"/>
  <c r="I148" i="23"/>
  <c r="B143" i="39"/>
  <c r="F143" i="39"/>
  <c r="I142" i="37"/>
  <c r="H142" i="37"/>
  <c r="B146" i="31"/>
  <c r="F146" i="31"/>
  <c r="H145" i="29"/>
  <c r="I145" i="29"/>
  <c r="B153" i="11"/>
  <c r="F153" i="11"/>
  <c r="B151" i="5"/>
  <c r="F151" i="5"/>
  <c r="I142" i="43"/>
  <c r="H142" i="43"/>
  <c r="B154" i="10"/>
  <c r="F154" i="10"/>
  <c r="G154" i="10" s="1"/>
  <c r="B151" i="3"/>
  <c r="F151" i="3"/>
  <c r="B152" i="8"/>
  <c r="F152" i="8"/>
  <c r="B147" i="27"/>
  <c r="F147" i="27"/>
  <c r="B151" i="4"/>
  <c r="F151" i="4"/>
  <c r="H146" i="27"/>
  <c r="I146" i="27"/>
  <c r="I142" i="39"/>
  <c r="H142" i="39"/>
  <c r="E148" i="24"/>
  <c r="F148" i="24" s="1"/>
  <c r="H151" i="6"/>
  <c r="I151" i="6"/>
  <c r="H145" i="31"/>
  <c r="I145" i="31"/>
  <c r="E150" i="22"/>
  <c r="F150" i="22" s="1"/>
  <c r="B146" i="28"/>
  <c r="F146" i="28"/>
  <c r="H150" i="4"/>
  <c r="I150" i="4"/>
  <c r="I152" i="11"/>
  <c r="H152" i="11"/>
  <c r="H150" i="5"/>
  <c r="I150" i="5"/>
  <c r="E150" i="25"/>
  <c r="F150" i="25" s="1"/>
  <c r="B142" i="40"/>
  <c r="F142" i="40"/>
  <c r="H153" i="10"/>
  <c r="I153" i="10"/>
  <c r="E149" i="23"/>
  <c r="F149" i="23" s="1"/>
  <c r="B154" i="7"/>
  <c r="F154" i="7"/>
  <c r="G154" i="7" s="1"/>
  <c r="H151" i="8"/>
  <c r="I151" i="8"/>
  <c r="E147" i="46" l="1"/>
  <c r="F147" i="46" s="1"/>
  <c r="H146" i="46"/>
  <c r="I146" i="46"/>
  <c r="E144" i="47"/>
  <c r="F144" i="47" s="1"/>
  <c r="G147" i="46"/>
  <c r="D148" i="46"/>
  <c r="B148" i="46" s="1"/>
  <c r="E145" i="45"/>
  <c r="F145" i="45" s="1"/>
  <c r="G145" i="45" s="1"/>
  <c r="H145" i="45" s="1"/>
  <c r="H143" i="47"/>
  <c r="I143" i="47"/>
  <c r="I144" i="45"/>
  <c r="H144" i="45"/>
  <c r="E152" i="44"/>
  <c r="F152" i="44" s="1"/>
  <c r="B152" i="44"/>
  <c r="H151" i="44"/>
  <c r="I151" i="44"/>
  <c r="D149" i="41"/>
  <c r="B149" i="41" s="1"/>
  <c r="H149" i="38"/>
  <c r="I149" i="38"/>
  <c r="G148" i="42"/>
  <c r="D149" i="42"/>
  <c r="E150" i="38"/>
  <c r="F150" i="38" s="1"/>
  <c r="B150" i="38"/>
  <c r="H148" i="41"/>
  <c r="I148" i="41"/>
  <c r="J151" i="6"/>
  <c r="J145" i="28"/>
  <c r="J153" i="10"/>
  <c r="J145" i="31"/>
  <c r="J153" i="7"/>
  <c r="G150" i="25"/>
  <c r="D151" i="25"/>
  <c r="E151" i="25" s="1"/>
  <c r="G149" i="23"/>
  <c r="D150" i="23"/>
  <c r="E150" i="23" s="1"/>
  <c r="G150" i="22"/>
  <c r="D151" i="22"/>
  <c r="E151" i="22" s="1"/>
  <c r="G148" i="24"/>
  <c r="D149" i="24"/>
  <c r="E149" i="24" s="1"/>
  <c r="J151" i="8"/>
  <c r="G146" i="28"/>
  <c r="D147" i="28"/>
  <c r="E147" i="28" s="1"/>
  <c r="G151" i="4"/>
  <c r="D152" i="4"/>
  <c r="E152" i="4" s="1"/>
  <c r="G152" i="8"/>
  <c r="D153" i="8"/>
  <c r="E153" i="8" s="1"/>
  <c r="H154" i="10"/>
  <c r="H155" i="10" s="1"/>
  <c r="I154" i="10"/>
  <c r="G151" i="5"/>
  <c r="D152" i="5"/>
  <c r="E152" i="5" s="1"/>
  <c r="J145" i="29"/>
  <c r="J144" i="30"/>
  <c r="G143" i="43"/>
  <c r="D144" i="43"/>
  <c r="E144" i="43" s="1"/>
  <c r="G146" i="29"/>
  <c r="D147" i="29"/>
  <c r="E147" i="29" s="1"/>
  <c r="G143" i="37"/>
  <c r="D144" i="37"/>
  <c r="E144" i="37" s="1"/>
  <c r="D154" i="9"/>
  <c r="G153" i="9"/>
  <c r="G145" i="30"/>
  <c r="D146" i="30"/>
  <c r="E146" i="30" s="1"/>
  <c r="D153" i="6"/>
  <c r="E153" i="6" s="1"/>
  <c r="G152" i="6"/>
  <c r="I154" i="7"/>
  <c r="H154" i="7"/>
  <c r="H155" i="7" s="1"/>
  <c r="J150" i="5"/>
  <c r="J150" i="4"/>
  <c r="J146" i="27"/>
  <c r="G147" i="27"/>
  <c r="D148" i="27"/>
  <c r="E148" i="27" s="1"/>
  <c r="G151" i="3"/>
  <c r="D152" i="3"/>
  <c r="E152" i="3" s="1"/>
  <c r="D154" i="11"/>
  <c r="E154" i="11" s="1"/>
  <c r="E155" i="11" s="1"/>
  <c r="G153" i="11"/>
  <c r="G146" i="31"/>
  <c r="D147" i="31"/>
  <c r="E147" i="31" s="1"/>
  <c r="G143" i="39"/>
  <c r="D144" i="39"/>
  <c r="E144" i="39" s="1"/>
  <c r="J150" i="3"/>
  <c r="G142" i="40"/>
  <c r="D143" i="40"/>
  <c r="E143" i="40" s="1"/>
  <c r="E148" i="46" l="1"/>
  <c r="F148" i="46" s="1"/>
  <c r="I145" i="45"/>
  <c r="I147" i="46"/>
  <c r="H147" i="46"/>
  <c r="G144" i="47"/>
  <c r="D145" i="47"/>
  <c r="D146" i="45"/>
  <c r="G148" i="46"/>
  <c r="D149" i="46"/>
  <c r="B149" i="46" s="1"/>
  <c r="E149" i="46"/>
  <c r="F149" i="46" s="1"/>
  <c r="G152" i="44"/>
  <c r="D153" i="44"/>
  <c r="E149" i="41"/>
  <c r="F149" i="41" s="1"/>
  <c r="G149" i="41" s="1"/>
  <c r="H149" i="41" s="1"/>
  <c r="D151" i="38"/>
  <c r="G150" i="38"/>
  <c r="E149" i="42"/>
  <c r="F149" i="42" s="1"/>
  <c r="B149" i="42"/>
  <c r="I148" i="42"/>
  <c r="H148" i="42"/>
  <c r="B143" i="40"/>
  <c r="F143" i="40"/>
  <c r="H142" i="40"/>
  <c r="I142" i="40"/>
  <c r="I153" i="11"/>
  <c r="H153" i="11"/>
  <c r="H151" i="3"/>
  <c r="I151" i="3"/>
  <c r="J154" i="7"/>
  <c r="J155" i="7" s="1"/>
  <c r="I155" i="7"/>
  <c r="I153" i="9"/>
  <c r="H153" i="9"/>
  <c r="H143" i="37"/>
  <c r="I143" i="37"/>
  <c r="J154" i="10"/>
  <c r="J155" i="10" s="1"/>
  <c r="I155" i="10"/>
  <c r="H152" i="8"/>
  <c r="I152" i="8"/>
  <c r="B151" i="22"/>
  <c r="F151" i="22"/>
  <c r="H149" i="23"/>
  <c r="I149" i="23"/>
  <c r="B146" i="30"/>
  <c r="F146" i="30"/>
  <c r="B154" i="9"/>
  <c r="B144" i="43"/>
  <c r="F144" i="43"/>
  <c r="B147" i="28"/>
  <c r="F147" i="28"/>
  <c r="B149" i="24"/>
  <c r="F149" i="24"/>
  <c r="I150" i="22"/>
  <c r="H150" i="22"/>
  <c r="B154" i="11"/>
  <c r="F154" i="11"/>
  <c r="G154" i="11" s="1"/>
  <c r="B148" i="27"/>
  <c r="F148" i="27"/>
  <c r="I152" i="6"/>
  <c r="H152" i="6"/>
  <c r="I145" i="30"/>
  <c r="H145" i="30"/>
  <c r="B147" i="29"/>
  <c r="F147" i="29"/>
  <c r="I143" i="43"/>
  <c r="H143" i="43"/>
  <c r="B152" i="5"/>
  <c r="F152" i="5"/>
  <c r="B152" i="4"/>
  <c r="F152" i="4"/>
  <c r="I146" i="28"/>
  <c r="H146" i="28"/>
  <c r="H148" i="24"/>
  <c r="I148" i="24"/>
  <c r="B151" i="25"/>
  <c r="F151" i="25"/>
  <c r="B147" i="31"/>
  <c r="F147" i="31"/>
  <c r="B144" i="39"/>
  <c r="F144" i="39"/>
  <c r="H146" i="31"/>
  <c r="I146" i="31"/>
  <c r="H143" i="39"/>
  <c r="I143" i="39"/>
  <c r="B152" i="3"/>
  <c r="F152" i="3"/>
  <c r="H147" i="27"/>
  <c r="I147" i="27"/>
  <c r="B153" i="6"/>
  <c r="F153" i="6"/>
  <c r="E154" i="9"/>
  <c r="E155" i="9" s="1"/>
  <c r="B144" i="37"/>
  <c r="F144" i="37"/>
  <c r="H146" i="29"/>
  <c r="I146" i="29"/>
  <c r="H151" i="5"/>
  <c r="I151" i="5"/>
  <c r="B153" i="8"/>
  <c r="F153" i="8"/>
  <c r="H151" i="4"/>
  <c r="I151" i="4"/>
  <c r="B150" i="23"/>
  <c r="F150" i="23"/>
  <c r="H150" i="25"/>
  <c r="I150" i="25"/>
  <c r="D150" i="46" l="1"/>
  <c r="B150" i="46" s="1"/>
  <c r="G149" i="46"/>
  <c r="E150" i="46"/>
  <c r="F150" i="46" s="1"/>
  <c r="E145" i="47"/>
  <c r="F145" i="47" s="1"/>
  <c r="B145" i="47"/>
  <c r="H144" i="47"/>
  <c r="I144" i="47"/>
  <c r="H148" i="46"/>
  <c r="I148" i="46"/>
  <c r="B146" i="45"/>
  <c r="E146" i="45"/>
  <c r="F146" i="45" s="1"/>
  <c r="D150" i="41"/>
  <c r="B150" i="41" s="1"/>
  <c r="I149" i="41"/>
  <c r="E153" i="44"/>
  <c r="F153" i="44" s="1"/>
  <c r="B153" i="44"/>
  <c r="H152" i="44"/>
  <c r="I152" i="44"/>
  <c r="H150" i="38"/>
  <c r="I150" i="38"/>
  <c r="G149" i="42"/>
  <c r="D150" i="42"/>
  <c r="B150" i="42" s="1"/>
  <c r="E151" i="38"/>
  <c r="F151" i="38" s="1"/>
  <c r="B151" i="38"/>
  <c r="J151" i="3"/>
  <c r="J146" i="29"/>
  <c r="J146" i="28"/>
  <c r="J152" i="6"/>
  <c r="J152" i="8"/>
  <c r="J151" i="4"/>
  <c r="J151" i="5"/>
  <c r="J145" i="30"/>
  <c r="D154" i="8"/>
  <c r="E154" i="8" s="1"/>
  <c r="E155" i="8" s="1"/>
  <c r="G153" i="8"/>
  <c r="J147" i="27"/>
  <c r="G144" i="39"/>
  <c r="D145" i="39"/>
  <c r="E145" i="39" s="1"/>
  <c r="G151" i="25"/>
  <c r="D152" i="25"/>
  <c r="E152" i="25" s="1"/>
  <c r="G152" i="5"/>
  <c r="D153" i="5"/>
  <c r="E153" i="5" s="1"/>
  <c r="G147" i="29"/>
  <c r="D148" i="29"/>
  <c r="E148" i="29" s="1"/>
  <c r="H154" i="11"/>
  <c r="H155" i="11" s="1"/>
  <c r="I154" i="11"/>
  <c r="I155" i="11" s="1"/>
  <c r="G149" i="24"/>
  <c r="D150" i="24"/>
  <c r="E150" i="24" s="1"/>
  <c r="G144" i="43"/>
  <c r="D145" i="43"/>
  <c r="E145" i="43" s="1"/>
  <c r="G146" i="30"/>
  <c r="D147" i="30"/>
  <c r="E147" i="30" s="1"/>
  <c r="G151" i="22"/>
  <c r="D152" i="22"/>
  <c r="E152" i="22" s="1"/>
  <c r="D154" i="6"/>
  <c r="E154" i="6" s="1"/>
  <c r="E155" i="6" s="1"/>
  <c r="G153" i="6"/>
  <c r="G152" i="3"/>
  <c r="D153" i="3"/>
  <c r="E153" i="3" s="1"/>
  <c r="J146" i="31"/>
  <c r="G147" i="31"/>
  <c r="D148" i="31"/>
  <c r="E148" i="31" s="1"/>
  <c r="G152" i="4"/>
  <c r="D153" i="4"/>
  <c r="E153" i="4" s="1"/>
  <c r="G148" i="27"/>
  <c r="D149" i="27"/>
  <c r="E149" i="27" s="1"/>
  <c r="G147" i="28"/>
  <c r="D148" i="28"/>
  <c r="E148" i="28" s="1"/>
  <c r="F154" i="9"/>
  <c r="G154" i="9" s="1"/>
  <c r="G143" i="40"/>
  <c r="D144" i="40"/>
  <c r="E144" i="40" s="1"/>
  <c r="D151" i="23"/>
  <c r="E151" i="23" s="1"/>
  <c r="G150" i="23"/>
  <c r="G144" i="37"/>
  <c r="D145" i="37"/>
  <c r="E145" i="37" s="1"/>
  <c r="G145" i="47" l="1"/>
  <c r="D146" i="47"/>
  <c r="D147" i="45"/>
  <c r="B147" i="45" s="1"/>
  <c r="G146" i="45"/>
  <c r="D151" i="46"/>
  <c r="B151" i="46" s="1"/>
  <c r="G150" i="46"/>
  <c r="H149" i="46"/>
  <c r="I149" i="46"/>
  <c r="D154" i="44"/>
  <c r="G153" i="44"/>
  <c r="E150" i="41"/>
  <c r="F150" i="41" s="1"/>
  <c r="E150" i="42"/>
  <c r="F150" i="42" s="1"/>
  <c r="D151" i="42" s="1"/>
  <c r="D152" i="38"/>
  <c r="G151" i="38"/>
  <c r="I149" i="42"/>
  <c r="H149" i="42"/>
  <c r="B144" i="40"/>
  <c r="F144" i="40"/>
  <c r="B148" i="28"/>
  <c r="F148" i="28"/>
  <c r="H148" i="27"/>
  <c r="I148" i="27"/>
  <c r="H153" i="6"/>
  <c r="I153" i="6"/>
  <c r="H151" i="22"/>
  <c r="I151" i="22"/>
  <c r="B150" i="24"/>
  <c r="F150" i="24"/>
  <c r="B153" i="5"/>
  <c r="F153" i="5"/>
  <c r="I151" i="25"/>
  <c r="H151" i="25"/>
  <c r="H150" i="23"/>
  <c r="I150" i="23"/>
  <c r="I143" i="40"/>
  <c r="H143" i="40"/>
  <c r="I147" i="28"/>
  <c r="H147" i="28"/>
  <c r="B148" i="31"/>
  <c r="F148" i="31"/>
  <c r="B153" i="3"/>
  <c r="F153" i="3"/>
  <c r="B154" i="6"/>
  <c r="F154" i="6"/>
  <c r="G154" i="6" s="1"/>
  <c r="B145" i="43"/>
  <c r="F145" i="43"/>
  <c r="H149" i="24"/>
  <c r="I149" i="24"/>
  <c r="B148" i="29"/>
  <c r="F148" i="29"/>
  <c r="H152" i="5"/>
  <c r="I152" i="5"/>
  <c r="B151" i="23"/>
  <c r="F151" i="23"/>
  <c r="H154" i="9"/>
  <c r="H155" i="9" s="1"/>
  <c r="I154" i="9"/>
  <c r="I155" i="9" s="1"/>
  <c r="B153" i="4"/>
  <c r="F153" i="4"/>
  <c r="H147" i="31"/>
  <c r="I147" i="31"/>
  <c r="H152" i="3"/>
  <c r="I152" i="3"/>
  <c r="B147" i="30"/>
  <c r="F147" i="30"/>
  <c r="H144" i="43"/>
  <c r="I144" i="43"/>
  <c r="H147" i="29"/>
  <c r="I147" i="29"/>
  <c r="B145" i="39"/>
  <c r="F145" i="39"/>
  <c r="H153" i="8"/>
  <c r="I153" i="8"/>
  <c r="B145" i="37"/>
  <c r="F145" i="37"/>
  <c r="H144" i="37"/>
  <c r="I144" i="37"/>
  <c r="B149" i="27"/>
  <c r="F149" i="27"/>
  <c r="H152" i="4"/>
  <c r="I152" i="4"/>
  <c r="B152" i="22"/>
  <c r="F152" i="22"/>
  <c r="H146" i="30"/>
  <c r="I146" i="30"/>
  <c r="B152" i="25"/>
  <c r="F152" i="25"/>
  <c r="H144" i="39"/>
  <c r="I144" i="39"/>
  <c r="B154" i="8"/>
  <c r="F154" i="8"/>
  <c r="G154" i="8" s="1"/>
  <c r="E151" i="46" l="1"/>
  <c r="F151" i="46" s="1"/>
  <c r="H146" i="45"/>
  <c r="I146" i="45"/>
  <c r="I150" i="46"/>
  <c r="H150" i="46"/>
  <c r="E146" i="47"/>
  <c r="F146" i="47" s="1"/>
  <c r="B146" i="47"/>
  <c r="E147" i="45"/>
  <c r="F147" i="45" s="1"/>
  <c r="H145" i="47"/>
  <c r="I145" i="47"/>
  <c r="G150" i="42"/>
  <c r="I150" i="42" s="1"/>
  <c r="D151" i="41"/>
  <c r="E151" i="41" s="1"/>
  <c r="G150" i="41"/>
  <c r="H153" i="44"/>
  <c r="I153" i="44"/>
  <c r="E154" i="44"/>
  <c r="E155" i="44" s="1"/>
  <c r="B154" i="44"/>
  <c r="E151" i="42"/>
  <c r="F151" i="42" s="1"/>
  <c r="B151" i="42"/>
  <c r="H151" i="38"/>
  <c r="I151" i="38"/>
  <c r="E152" i="38"/>
  <c r="F152" i="38" s="1"/>
  <c r="B152" i="38"/>
  <c r="J148" i="27"/>
  <c r="J146" i="30"/>
  <c r="J152" i="4"/>
  <c r="J153" i="8"/>
  <c r="J147" i="29"/>
  <c r="G147" i="30"/>
  <c r="D148" i="30"/>
  <c r="E148" i="30" s="1"/>
  <c r="J147" i="31"/>
  <c r="J152" i="5"/>
  <c r="H154" i="6"/>
  <c r="H155" i="6" s="1"/>
  <c r="I154" i="6"/>
  <c r="D149" i="31"/>
  <c r="E149" i="31" s="1"/>
  <c r="G148" i="31"/>
  <c r="G150" i="24"/>
  <c r="D151" i="24"/>
  <c r="E151" i="24" s="1"/>
  <c r="J153" i="6"/>
  <c r="G148" i="28"/>
  <c r="D149" i="28"/>
  <c r="E149" i="28" s="1"/>
  <c r="H154" i="8"/>
  <c r="H155" i="8" s="1"/>
  <c r="I154" i="8"/>
  <c r="G152" i="25"/>
  <c r="D153" i="25"/>
  <c r="E153" i="25" s="1"/>
  <c r="G152" i="22"/>
  <c r="D153" i="22"/>
  <c r="E153" i="22" s="1"/>
  <c r="D150" i="27"/>
  <c r="E150" i="27" s="1"/>
  <c r="G149" i="27"/>
  <c r="G145" i="37"/>
  <c r="D146" i="37"/>
  <c r="E146" i="37" s="1"/>
  <c r="G145" i="39"/>
  <c r="D146" i="39"/>
  <c r="E146" i="39" s="1"/>
  <c r="J152" i="3"/>
  <c r="G153" i="4"/>
  <c r="D154" i="4"/>
  <c r="E154" i="4" s="1"/>
  <c r="E155" i="4" s="1"/>
  <c r="G151" i="23"/>
  <c r="D152" i="23"/>
  <c r="E152" i="23" s="1"/>
  <c r="G148" i="29"/>
  <c r="D149" i="29"/>
  <c r="E149" i="29" s="1"/>
  <c r="G145" i="43"/>
  <c r="D146" i="43"/>
  <c r="E146" i="43" s="1"/>
  <c r="G153" i="3"/>
  <c r="D154" i="3"/>
  <c r="E154" i="3" s="1"/>
  <c r="E155" i="3" s="1"/>
  <c r="G153" i="5"/>
  <c r="D154" i="5"/>
  <c r="E154" i="5" s="1"/>
  <c r="E155" i="5" s="1"/>
  <c r="G144" i="40"/>
  <c r="D145" i="40"/>
  <c r="E145" i="40" s="1"/>
  <c r="J147" i="28"/>
  <c r="D147" i="47" l="1"/>
  <c r="G146" i="47"/>
  <c r="G147" i="45"/>
  <c r="D148" i="45"/>
  <c r="G151" i="46"/>
  <c r="D152" i="46"/>
  <c r="B152" i="46" s="1"/>
  <c r="H150" i="42"/>
  <c r="F154" i="44"/>
  <c r="G154" i="44" s="1"/>
  <c r="H154" i="44" s="1"/>
  <c r="H155" i="44" s="1"/>
  <c r="I150" i="41"/>
  <c r="H150" i="41"/>
  <c r="B151" i="41"/>
  <c r="F151" i="41"/>
  <c r="G151" i="42"/>
  <c r="D152" i="42"/>
  <c r="D153" i="38"/>
  <c r="B153" i="38" s="1"/>
  <c r="G152" i="38"/>
  <c r="B154" i="3"/>
  <c r="F154" i="3"/>
  <c r="G154" i="3" s="1"/>
  <c r="I145" i="43"/>
  <c r="H145" i="43"/>
  <c r="B154" i="4"/>
  <c r="F154" i="4"/>
  <c r="G154" i="4" s="1"/>
  <c r="B146" i="39"/>
  <c r="F146" i="39"/>
  <c r="H145" i="37"/>
  <c r="I145" i="37"/>
  <c r="B153" i="25"/>
  <c r="F153" i="25"/>
  <c r="H148" i="31"/>
  <c r="I148" i="31"/>
  <c r="H147" i="30"/>
  <c r="I147" i="30"/>
  <c r="H153" i="3"/>
  <c r="I153" i="3"/>
  <c r="F152" i="23"/>
  <c r="B152" i="23"/>
  <c r="H153" i="4"/>
  <c r="I153" i="4"/>
  <c r="H145" i="39"/>
  <c r="I145" i="39"/>
  <c r="B153" i="22"/>
  <c r="F153" i="22"/>
  <c r="H152" i="25"/>
  <c r="I152" i="25"/>
  <c r="B149" i="28"/>
  <c r="F149" i="28"/>
  <c r="B151" i="24"/>
  <c r="F151" i="24"/>
  <c r="B149" i="31"/>
  <c r="F149" i="31"/>
  <c r="I144" i="40"/>
  <c r="H144" i="40"/>
  <c r="B154" i="5"/>
  <c r="F154" i="5"/>
  <c r="G154" i="5" s="1"/>
  <c r="B145" i="40"/>
  <c r="F145" i="40"/>
  <c r="H153" i="5"/>
  <c r="I153" i="5"/>
  <c r="B149" i="29"/>
  <c r="F149" i="29"/>
  <c r="H151" i="23"/>
  <c r="I151" i="23"/>
  <c r="H149" i="27"/>
  <c r="I149" i="27"/>
  <c r="I152" i="22"/>
  <c r="H152" i="22"/>
  <c r="J154" i="8"/>
  <c r="J155" i="8" s="1"/>
  <c r="I155" i="8"/>
  <c r="I148" i="28"/>
  <c r="H148" i="28"/>
  <c r="I150" i="24"/>
  <c r="H150" i="24"/>
  <c r="J154" i="6"/>
  <c r="J155" i="6" s="1"/>
  <c r="I155" i="6"/>
  <c r="B146" i="43"/>
  <c r="F146" i="43"/>
  <c r="H148" i="29"/>
  <c r="I148" i="29"/>
  <c r="B146" i="37"/>
  <c r="F146" i="37"/>
  <c r="B150" i="27"/>
  <c r="F150" i="27"/>
  <c r="B148" i="30"/>
  <c r="F148" i="30"/>
  <c r="E152" i="46" l="1"/>
  <c r="F152" i="46" s="1"/>
  <c r="B148" i="45"/>
  <c r="E148" i="45"/>
  <c r="F148" i="45" s="1"/>
  <c r="G152" i="46"/>
  <c r="D153" i="46"/>
  <c r="B153" i="46" s="1"/>
  <c r="H147" i="45"/>
  <c r="I147" i="45"/>
  <c r="H146" i="47"/>
  <c r="I146" i="47"/>
  <c r="I151" i="46"/>
  <c r="H151" i="46"/>
  <c r="E147" i="47"/>
  <c r="F147" i="47" s="1"/>
  <c r="B147" i="47"/>
  <c r="I154" i="44"/>
  <c r="I155" i="44" s="1"/>
  <c r="D152" i="41"/>
  <c r="G151" i="41"/>
  <c r="E152" i="42"/>
  <c r="F152" i="42" s="1"/>
  <c r="B152" i="42"/>
  <c r="E153" i="38"/>
  <c r="F153" i="38" s="1"/>
  <c r="H151" i="42"/>
  <c r="I151" i="42"/>
  <c r="I152" i="38"/>
  <c r="H152" i="38"/>
  <c r="J153" i="4"/>
  <c r="J153" i="5"/>
  <c r="J153" i="3"/>
  <c r="J148" i="31"/>
  <c r="J148" i="29"/>
  <c r="D151" i="27"/>
  <c r="E151" i="27" s="1"/>
  <c r="G150" i="27"/>
  <c r="G148" i="30"/>
  <c r="D149" i="30"/>
  <c r="E149" i="30" s="1"/>
  <c r="G146" i="37"/>
  <c r="D147" i="37"/>
  <c r="E147" i="37" s="1"/>
  <c r="G146" i="43"/>
  <c r="D147" i="43"/>
  <c r="E147" i="43" s="1"/>
  <c r="J149" i="27"/>
  <c r="G149" i="29"/>
  <c r="D150" i="29"/>
  <c r="E150" i="29" s="1"/>
  <c r="G145" i="40"/>
  <c r="D146" i="40"/>
  <c r="E146" i="40" s="1"/>
  <c r="G151" i="24"/>
  <c r="D152" i="24"/>
  <c r="E152" i="24" s="1"/>
  <c r="J147" i="30"/>
  <c r="G153" i="25"/>
  <c r="D154" i="25"/>
  <c r="E154" i="25" s="1"/>
  <c r="E155" i="25" s="1"/>
  <c r="G146" i="39"/>
  <c r="D147" i="39"/>
  <c r="E147" i="39" s="1"/>
  <c r="D153" i="23"/>
  <c r="E153" i="23" s="1"/>
  <c r="G152" i="23"/>
  <c r="H154" i="5"/>
  <c r="H155" i="5" s="1"/>
  <c r="I154" i="5"/>
  <c r="G149" i="31"/>
  <c r="D150" i="31"/>
  <c r="E150" i="31" s="1"/>
  <c r="D150" i="28"/>
  <c r="E150" i="28" s="1"/>
  <c r="G149" i="28"/>
  <c r="G153" i="22"/>
  <c r="D154" i="22"/>
  <c r="E154" i="22" s="1"/>
  <c r="E155" i="22" s="1"/>
  <c r="H154" i="4"/>
  <c r="H155" i="4" s="1"/>
  <c r="I154" i="4"/>
  <c r="H154" i="3"/>
  <c r="H155" i="3" s="1"/>
  <c r="I154" i="3"/>
  <c r="J148" i="28"/>
  <c r="D148" i="47" l="1"/>
  <c r="E148" i="47" s="1"/>
  <c r="G147" i="47"/>
  <c r="I152" i="46"/>
  <c r="H152" i="46"/>
  <c r="G148" i="45"/>
  <c r="D149" i="45"/>
  <c r="E153" i="46"/>
  <c r="F153" i="46" s="1"/>
  <c r="I151" i="41"/>
  <c r="H151" i="41"/>
  <c r="E152" i="41"/>
  <c r="F152" i="41" s="1"/>
  <c r="B152" i="41"/>
  <c r="D153" i="42"/>
  <c r="G152" i="42"/>
  <c r="G153" i="38"/>
  <c r="D154" i="38"/>
  <c r="B150" i="31"/>
  <c r="F150" i="31"/>
  <c r="F147" i="39"/>
  <c r="B147" i="39"/>
  <c r="I153" i="25"/>
  <c r="H153" i="25"/>
  <c r="I151" i="24"/>
  <c r="H151" i="24"/>
  <c r="B147" i="37"/>
  <c r="F147" i="37"/>
  <c r="I148" i="30"/>
  <c r="H148" i="30"/>
  <c r="I153" i="22"/>
  <c r="H153" i="22"/>
  <c r="J154" i="3"/>
  <c r="J155" i="3" s="1"/>
  <c r="I155" i="3"/>
  <c r="H149" i="28"/>
  <c r="I149" i="28"/>
  <c r="I149" i="31"/>
  <c r="H149" i="31"/>
  <c r="I152" i="23"/>
  <c r="H152" i="23"/>
  <c r="H146" i="39"/>
  <c r="I146" i="39"/>
  <c r="B150" i="29"/>
  <c r="F150" i="29"/>
  <c r="B147" i="43"/>
  <c r="F147" i="43"/>
  <c r="I146" i="37"/>
  <c r="H146" i="37"/>
  <c r="B154" i="22"/>
  <c r="F154" i="22"/>
  <c r="G154" i="22" s="1"/>
  <c r="B150" i="28"/>
  <c r="F150" i="28"/>
  <c r="J154" i="5"/>
  <c r="J155" i="5" s="1"/>
  <c r="I155" i="5"/>
  <c r="B153" i="23"/>
  <c r="F153" i="23"/>
  <c r="B146" i="40"/>
  <c r="F146" i="40"/>
  <c r="H149" i="29"/>
  <c r="I149" i="29"/>
  <c r="H146" i="43"/>
  <c r="I146" i="43"/>
  <c r="H150" i="27"/>
  <c r="I150" i="27"/>
  <c r="J154" i="4"/>
  <c r="J155" i="4" s="1"/>
  <c r="I155" i="4"/>
  <c r="B154" i="25"/>
  <c r="F154" i="25"/>
  <c r="G154" i="25" s="1"/>
  <c r="B152" i="24"/>
  <c r="F152" i="24"/>
  <c r="I145" i="40"/>
  <c r="H145" i="40"/>
  <c r="B149" i="30"/>
  <c r="F149" i="30"/>
  <c r="B151" i="27"/>
  <c r="F151" i="27"/>
  <c r="G153" i="46" l="1"/>
  <c r="D154" i="46"/>
  <c r="B149" i="45"/>
  <c r="E149" i="45"/>
  <c r="F149" i="45" s="1"/>
  <c r="H148" i="45"/>
  <c r="I148" i="45"/>
  <c r="I147" i="47"/>
  <c r="H147" i="47"/>
  <c r="F148" i="47"/>
  <c r="B148" i="47"/>
  <c r="G152" i="41"/>
  <c r="D153" i="41"/>
  <c r="B153" i="41" s="1"/>
  <c r="E154" i="38"/>
  <c r="E155" i="38" s="1"/>
  <c r="B154" i="38"/>
  <c r="I153" i="38"/>
  <c r="H153" i="38"/>
  <c r="I152" i="42"/>
  <c r="H152" i="42"/>
  <c r="E153" i="42"/>
  <c r="F153" i="42" s="1"/>
  <c r="B153" i="42"/>
  <c r="J149" i="28"/>
  <c r="J149" i="31"/>
  <c r="G152" i="24"/>
  <c r="D153" i="24"/>
  <c r="E153" i="24" s="1"/>
  <c r="G146" i="40"/>
  <c r="D147" i="40"/>
  <c r="E147" i="40" s="1"/>
  <c r="H154" i="22"/>
  <c r="H155" i="22" s="1"/>
  <c r="I154" i="22"/>
  <c r="I155" i="22" s="1"/>
  <c r="G147" i="43"/>
  <c r="D148" i="43"/>
  <c r="E148" i="43" s="1"/>
  <c r="J148" i="30"/>
  <c r="G147" i="39"/>
  <c r="D148" i="39"/>
  <c r="E148" i="39" s="1"/>
  <c r="D152" i="27"/>
  <c r="E152" i="27" s="1"/>
  <c r="G151" i="27"/>
  <c r="I154" i="25"/>
  <c r="I155" i="25" s="1"/>
  <c r="H154" i="25"/>
  <c r="H155" i="25" s="1"/>
  <c r="J150" i="27"/>
  <c r="J149" i="29"/>
  <c r="G153" i="23"/>
  <c r="D154" i="23"/>
  <c r="G150" i="28"/>
  <c r="D151" i="28"/>
  <c r="E151" i="28" s="1"/>
  <c r="G150" i="29"/>
  <c r="D151" i="29"/>
  <c r="E151" i="29" s="1"/>
  <c r="G147" i="37"/>
  <c r="D148" i="37"/>
  <c r="E148" i="37" s="1"/>
  <c r="G150" i="31"/>
  <c r="D151" i="31"/>
  <c r="G149" i="30"/>
  <c r="D150" i="30"/>
  <c r="E150" i="30" s="1"/>
  <c r="G149" i="45" l="1"/>
  <c r="D150" i="45"/>
  <c r="B150" i="45" s="1"/>
  <c r="E150" i="45"/>
  <c r="F150" i="45" s="1"/>
  <c r="E154" i="46"/>
  <c r="E155" i="46" s="1"/>
  <c r="B154" i="46"/>
  <c r="D149" i="47"/>
  <c r="G148" i="47"/>
  <c r="I153" i="46"/>
  <c r="H153" i="46"/>
  <c r="G150" i="45"/>
  <c r="E153" i="41"/>
  <c r="F153" i="41" s="1"/>
  <c r="D154" i="41" s="1"/>
  <c r="E154" i="41" s="1"/>
  <c r="E155" i="41" s="1"/>
  <c r="F154" i="38"/>
  <c r="G154" i="38" s="1"/>
  <c r="H154" i="38" s="1"/>
  <c r="H155" i="38" s="1"/>
  <c r="H152" i="41"/>
  <c r="I152" i="41"/>
  <c r="D154" i="42"/>
  <c r="G153" i="42"/>
  <c r="I147" i="37"/>
  <c r="H147" i="37"/>
  <c r="B154" i="23"/>
  <c r="B152" i="27"/>
  <c r="F152" i="27"/>
  <c r="I146" i="40"/>
  <c r="H146" i="40"/>
  <c r="H150" i="31"/>
  <c r="I150" i="31"/>
  <c r="B151" i="28"/>
  <c r="F151" i="28"/>
  <c r="H153" i="23"/>
  <c r="I153" i="23"/>
  <c r="B150" i="30"/>
  <c r="F150" i="30"/>
  <c r="H149" i="30"/>
  <c r="I149" i="30"/>
  <c r="H150" i="28"/>
  <c r="I150" i="28"/>
  <c r="B148" i="39"/>
  <c r="F148" i="39"/>
  <c r="B148" i="43"/>
  <c r="F148" i="43"/>
  <c r="B153" i="24"/>
  <c r="F153" i="24"/>
  <c r="B151" i="31"/>
  <c r="B151" i="29"/>
  <c r="F151" i="29"/>
  <c r="E151" i="31"/>
  <c r="F151" i="31" s="1"/>
  <c r="B148" i="37"/>
  <c r="F148" i="37"/>
  <c r="I150" i="29"/>
  <c r="H150" i="29"/>
  <c r="E154" i="23"/>
  <c r="E155" i="23" s="1"/>
  <c r="H151" i="27"/>
  <c r="I151" i="27"/>
  <c r="I147" i="39"/>
  <c r="H147" i="39"/>
  <c r="H147" i="43"/>
  <c r="I147" i="43"/>
  <c r="B147" i="40"/>
  <c r="F147" i="40"/>
  <c r="I152" i="24"/>
  <c r="H152" i="24"/>
  <c r="D151" i="45" l="1"/>
  <c r="B151" i="45" s="1"/>
  <c r="H148" i="47"/>
  <c r="I148" i="47"/>
  <c r="E149" i="47"/>
  <c r="F149" i="47" s="1"/>
  <c r="B149" i="47"/>
  <c r="F154" i="46"/>
  <c r="G154" i="46" s="1"/>
  <c r="H149" i="45"/>
  <c r="I149" i="45"/>
  <c r="H150" i="45"/>
  <c r="I150" i="45"/>
  <c r="I154" i="38"/>
  <c r="I155" i="38" s="1"/>
  <c r="G153" i="41"/>
  <c r="F154" i="41"/>
  <c r="G154" i="41" s="1"/>
  <c r="H154" i="41" s="1"/>
  <c r="B154" i="41"/>
  <c r="I153" i="42"/>
  <c r="H153" i="42"/>
  <c r="E154" i="42"/>
  <c r="E155" i="42" s="1"/>
  <c r="B154" i="42"/>
  <c r="J151" i="27"/>
  <c r="J149" i="30"/>
  <c r="J150" i="31"/>
  <c r="G151" i="31"/>
  <c r="D152" i="31"/>
  <c r="E152" i="31" s="1"/>
  <c r="G148" i="43"/>
  <c r="D149" i="43"/>
  <c r="E149" i="43" s="1"/>
  <c r="J150" i="28"/>
  <c r="G150" i="30"/>
  <c r="D151" i="30"/>
  <c r="E151" i="30" s="1"/>
  <c r="G151" i="28"/>
  <c r="D152" i="28"/>
  <c r="E152" i="28" s="1"/>
  <c r="F154" i="23"/>
  <c r="G154" i="23" s="1"/>
  <c r="G147" i="40"/>
  <c r="D148" i="40"/>
  <c r="E148" i="40" s="1"/>
  <c r="J150" i="29"/>
  <c r="G151" i="29"/>
  <c r="D152" i="29"/>
  <c r="E152" i="29" s="1"/>
  <c r="G153" i="24"/>
  <c r="D154" i="24"/>
  <c r="E154" i="24" s="1"/>
  <c r="E155" i="24" s="1"/>
  <c r="G148" i="39"/>
  <c r="D149" i="39"/>
  <c r="E149" i="39" s="1"/>
  <c r="G152" i="27"/>
  <c r="D153" i="27"/>
  <c r="G148" i="37"/>
  <c r="D149" i="37"/>
  <c r="E149" i="37" s="1"/>
  <c r="E151" i="45" l="1"/>
  <c r="F151" i="45" s="1"/>
  <c r="D150" i="47"/>
  <c r="G149" i="47"/>
  <c r="I154" i="46"/>
  <c r="I155" i="46" s="1"/>
  <c r="H154" i="46"/>
  <c r="H155" i="46" s="1"/>
  <c r="I154" i="41"/>
  <c r="H153" i="41"/>
  <c r="H155" i="41" s="1"/>
  <c r="I153" i="41"/>
  <c r="I155" i="41" s="1"/>
  <c r="F154" i="42"/>
  <c r="G154" i="42" s="1"/>
  <c r="I154" i="42" s="1"/>
  <c r="I155" i="42" s="1"/>
  <c r="B153" i="27"/>
  <c r="H148" i="39"/>
  <c r="I148" i="39"/>
  <c r="I152" i="27"/>
  <c r="H152" i="27"/>
  <c r="F152" i="29"/>
  <c r="B152" i="29"/>
  <c r="B148" i="40"/>
  <c r="F148" i="40"/>
  <c r="B152" i="28"/>
  <c r="F152" i="28"/>
  <c r="H150" i="30"/>
  <c r="I150" i="30"/>
  <c r="H148" i="43"/>
  <c r="I148" i="43"/>
  <c r="E153" i="27"/>
  <c r="F153" i="27" s="1"/>
  <c r="B149" i="37"/>
  <c r="F149" i="37"/>
  <c r="H148" i="37"/>
  <c r="I148" i="37"/>
  <c r="B154" i="24"/>
  <c r="F154" i="24"/>
  <c r="G154" i="24" s="1"/>
  <c r="H151" i="29"/>
  <c r="I151" i="29"/>
  <c r="I147" i="40"/>
  <c r="H147" i="40"/>
  <c r="I151" i="28"/>
  <c r="H151" i="28"/>
  <c r="F149" i="39"/>
  <c r="B149" i="39"/>
  <c r="H153" i="24"/>
  <c r="I153" i="24"/>
  <c r="I154" i="23"/>
  <c r="I155" i="23" s="1"/>
  <c r="H154" i="23"/>
  <c r="H155" i="23" s="1"/>
  <c r="F152" i="31"/>
  <c r="B152" i="31"/>
  <c r="B151" i="30"/>
  <c r="F151" i="30"/>
  <c r="B149" i="43"/>
  <c r="F149" i="43"/>
  <c r="H151" i="31"/>
  <c r="I151" i="31"/>
  <c r="D152" i="45" l="1"/>
  <c r="G151" i="45"/>
  <c r="I149" i="47"/>
  <c r="H149" i="47"/>
  <c r="E150" i="47"/>
  <c r="F150" i="47" s="1"/>
  <c r="B150" i="47"/>
  <c r="H154" i="42"/>
  <c r="H155" i="42" s="1"/>
  <c r="J151" i="29"/>
  <c r="J151" i="31"/>
  <c r="J150" i="30"/>
  <c r="G153" i="27"/>
  <c r="D154" i="27"/>
  <c r="E154" i="27" s="1"/>
  <c r="E155" i="27" s="1"/>
  <c r="G152" i="31"/>
  <c r="D153" i="31"/>
  <c r="E153" i="31" s="1"/>
  <c r="J151" i="28"/>
  <c r="G152" i="28"/>
  <c r="D153" i="28"/>
  <c r="E153" i="28" s="1"/>
  <c r="G151" i="30"/>
  <c r="D152" i="30"/>
  <c r="E152" i="30" s="1"/>
  <c r="I154" i="24"/>
  <c r="I155" i="24" s="1"/>
  <c r="H154" i="24"/>
  <c r="H155" i="24" s="1"/>
  <c r="G149" i="37"/>
  <c r="D150" i="37"/>
  <c r="E150" i="37" s="1"/>
  <c r="G152" i="29"/>
  <c r="D153" i="29"/>
  <c r="E153" i="29" s="1"/>
  <c r="G149" i="39"/>
  <c r="D150" i="39"/>
  <c r="E150" i="39" s="1"/>
  <c r="G148" i="40"/>
  <c r="D149" i="40"/>
  <c r="E149" i="40" s="1"/>
  <c r="G149" i="43"/>
  <c r="D150" i="43"/>
  <c r="E150" i="43" s="1"/>
  <c r="J152" i="27"/>
  <c r="H151" i="45" l="1"/>
  <c r="I151" i="45"/>
  <c r="B152" i="45"/>
  <c r="E152" i="45"/>
  <c r="F152" i="45" s="1"/>
  <c r="D151" i="47"/>
  <c r="B151" i="47" s="1"/>
  <c r="G150" i="47"/>
  <c r="H149" i="43"/>
  <c r="I149" i="43"/>
  <c r="B153" i="29"/>
  <c r="F153" i="29"/>
  <c r="I149" i="37"/>
  <c r="H149" i="37"/>
  <c r="B152" i="30"/>
  <c r="F152" i="30"/>
  <c r="H152" i="28"/>
  <c r="I152" i="28"/>
  <c r="H152" i="31"/>
  <c r="I152" i="31"/>
  <c r="B150" i="39"/>
  <c r="F150" i="39"/>
  <c r="H152" i="29"/>
  <c r="I152" i="29"/>
  <c r="H151" i="30"/>
  <c r="I151" i="30"/>
  <c r="B149" i="40"/>
  <c r="F149" i="40"/>
  <c r="H149" i="39"/>
  <c r="I149" i="39"/>
  <c r="B154" i="27"/>
  <c r="F154" i="27"/>
  <c r="G154" i="27" s="1"/>
  <c r="B150" i="43"/>
  <c r="F150" i="43"/>
  <c r="H148" i="40"/>
  <c r="I148" i="40"/>
  <c r="B150" i="37"/>
  <c r="F150" i="37"/>
  <c r="B153" i="28"/>
  <c r="F153" i="28"/>
  <c r="B153" i="31"/>
  <c r="F153" i="31"/>
  <c r="I153" i="27"/>
  <c r="H153" i="27"/>
  <c r="E151" i="47" l="1"/>
  <c r="F151" i="47" s="1"/>
  <c r="D152" i="47" s="1"/>
  <c r="G152" i="45"/>
  <c r="D153" i="45"/>
  <c r="B153" i="45" s="1"/>
  <c r="I150" i="47"/>
  <c r="H150" i="47"/>
  <c r="J152" i="28"/>
  <c r="J151" i="30"/>
  <c r="J153" i="27"/>
  <c r="G153" i="28"/>
  <c r="D154" i="28"/>
  <c r="E154" i="28" s="1"/>
  <c r="E155" i="28" s="1"/>
  <c r="H154" i="27"/>
  <c r="H155" i="27" s="1"/>
  <c r="I154" i="27"/>
  <c r="D150" i="40"/>
  <c r="E150" i="40" s="1"/>
  <c r="G149" i="40"/>
  <c r="J152" i="29"/>
  <c r="J152" i="31"/>
  <c r="G152" i="30"/>
  <c r="D153" i="30"/>
  <c r="G153" i="29"/>
  <c r="D154" i="29"/>
  <c r="E154" i="29" s="1"/>
  <c r="E155" i="29" s="1"/>
  <c r="G153" i="31"/>
  <c r="D154" i="31"/>
  <c r="E154" i="31" s="1"/>
  <c r="E155" i="31" s="1"/>
  <c r="G150" i="37"/>
  <c r="D151" i="37"/>
  <c r="E151" i="37" s="1"/>
  <c r="G150" i="43"/>
  <c r="D151" i="43"/>
  <c r="G150" i="39"/>
  <c r="D151" i="39"/>
  <c r="E151" i="39" s="1"/>
  <c r="G151" i="47" l="1"/>
  <c r="E153" i="45"/>
  <c r="F153" i="45" s="1"/>
  <c r="I152" i="45"/>
  <c r="H152" i="45"/>
  <c r="I151" i="47"/>
  <c r="H151" i="47"/>
  <c r="E152" i="47"/>
  <c r="F152" i="47" s="1"/>
  <c r="B152" i="47"/>
  <c r="B153" i="30"/>
  <c r="B151" i="39"/>
  <c r="F151" i="39"/>
  <c r="H150" i="43"/>
  <c r="I150" i="43"/>
  <c r="B154" i="29"/>
  <c r="F154" i="29"/>
  <c r="G154" i="29" s="1"/>
  <c r="I152" i="30"/>
  <c r="H152" i="30"/>
  <c r="H149" i="40"/>
  <c r="I149" i="40"/>
  <c r="B151" i="43"/>
  <c r="H150" i="37"/>
  <c r="I150" i="37"/>
  <c r="H150" i="39"/>
  <c r="I150" i="39"/>
  <c r="H153" i="29"/>
  <c r="I153" i="29"/>
  <c r="B150" i="40"/>
  <c r="F150" i="40"/>
  <c r="F154" i="28"/>
  <c r="G154" i="28" s="1"/>
  <c r="B154" i="28"/>
  <c r="B154" i="31"/>
  <c r="F154" i="31"/>
  <c r="G154" i="31" s="1"/>
  <c r="E151" i="43"/>
  <c r="F151" i="43" s="1"/>
  <c r="B151" i="37"/>
  <c r="F151" i="37"/>
  <c r="H153" i="31"/>
  <c r="I153" i="31"/>
  <c r="E153" i="30"/>
  <c r="F153" i="30" s="1"/>
  <c r="J154" i="27"/>
  <c r="J155" i="27" s="1"/>
  <c r="I155" i="27"/>
  <c r="H153" i="28"/>
  <c r="I153" i="28"/>
  <c r="G153" i="45" l="1"/>
  <c r="D154" i="45"/>
  <c r="D153" i="47"/>
  <c r="G152" i="47"/>
  <c r="J153" i="31"/>
  <c r="G153" i="30"/>
  <c r="D154" i="30"/>
  <c r="E154" i="30" s="1"/>
  <c r="E155" i="30" s="1"/>
  <c r="G151" i="43"/>
  <c r="D152" i="43"/>
  <c r="E152" i="43" s="1"/>
  <c r="J153" i="28"/>
  <c r="J153" i="29"/>
  <c r="H154" i="29"/>
  <c r="H155" i="29" s="1"/>
  <c r="I154" i="29"/>
  <c r="G151" i="39"/>
  <c r="D152" i="39"/>
  <c r="H154" i="28"/>
  <c r="H155" i="28" s="1"/>
  <c r="I154" i="28"/>
  <c r="H154" i="31"/>
  <c r="H155" i="31" s="1"/>
  <c r="I154" i="31"/>
  <c r="G150" i="40"/>
  <c r="D151" i="40"/>
  <c r="E151" i="40" s="1"/>
  <c r="G151" i="37"/>
  <c r="D152" i="37"/>
  <c r="E152" i="37" s="1"/>
  <c r="J152" i="30"/>
  <c r="E154" i="45" l="1"/>
  <c r="E155" i="45" s="1"/>
  <c r="B154" i="45"/>
  <c r="F154" i="45"/>
  <c r="G154" i="45" s="1"/>
  <c r="H153" i="45"/>
  <c r="I153" i="45"/>
  <c r="H152" i="47"/>
  <c r="I152" i="47"/>
  <c r="E153" i="47"/>
  <c r="F153" i="47" s="1"/>
  <c r="B153" i="47"/>
  <c r="B152" i="39"/>
  <c r="H151" i="43"/>
  <c r="I151" i="43"/>
  <c r="B151" i="40"/>
  <c r="F151" i="40"/>
  <c r="I151" i="39"/>
  <c r="H151" i="39"/>
  <c r="J154" i="29"/>
  <c r="J155" i="29" s="1"/>
  <c r="I155" i="29"/>
  <c r="B154" i="30"/>
  <c r="F154" i="30"/>
  <c r="G154" i="30" s="1"/>
  <c r="J154" i="28"/>
  <c r="J155" i="28" s="1"/>
  <c r="I155" i="28"/>
  <c r="B152" i="37"/>
  <c r="F152" i="37"/>
  <c r="I150" i="40"/>
  <c r="H150" i="40"/>
  <c r="H151" i="37"/>
  <c r="I151" i="37"/>
  <c r="J154" i="31"/>
  <c r="J155" i="31" s="1"/>
  <c r="I155" i="31"/>
  <c r="E152" i="39"/>
  <c r="F152" i="39" s="1"/>
  <c r="B152" i="43"/>
  <c r="F152" i="43"/>
  <c r="H153" i="30"/>
  <c r="I153" i="30"/>
  <c r="I154" i="45" l="1"/>
  <c r="I155" i="45" s="1"/>
  <c r="H154" i="45"/>
  <c r="H155" i="45" s="1"/>
  <c r="D154" i="47"/>
  <c r="G153" i="47"/>
  <c r="G152" i="37"/>
  <c r="D153" i="37"/>
  <c r="E153" i="37" s="1"/>
  <c r="H154" i="30"/>
  <c r="H155" i="30" s="1"/>
  <c r="I154" i="30"/>
  <c r="G152" i="43"/>
  <c r="D153" i="43"/>
  <c r="E153" i="43" s="1"/>
  <c r="J153" i="30"/>
  <c r="G151" i="40"/>
  <c r="D152" i="40"/>
  <c r="G152" i="39"/>
  <c r="D153" i="39"/>
  <c r="E153" i="39" s="1"/>
  <c r="I153" i="47" l="1"/>
  <c r="H153" i="47"/>
  <c r="E154" i="47"/>
  <c r="E155" i="47" s="1"/>
  <c r="B154" i="47"/>
  <c r="B152" i="40"/>
  <c r="B153" i="43"/>
  <c r="F153" i="43"/>
  <c r="E152" i="40"/>
  <c r="F152" i="40" s="1"/>
  <c r="B153" i="37"/>
  <c r="F153" i="37"/>
  <c r="B153" i="39"/>
  <c r="F153" i="39"/>
  <c r="I151" i="40"/>
  <c r="H151" i="40"/>
  <c r="H152" i="43"/>
  <c r="I152" i="43"/>
  <c r="I152" i="39"/>
  <c r="H152" i="39"/>
  <c r="J154" i="30"/>
  <c r="J155" i="30" s="1"/>
  <c r="I155" i="30"/>
  <c r="I152" i="37"/>
  <c r="H152" i="37"/>
  <c r="F154" i="47" l="1"/>
  <c r="G154" i="47" s="1"/>
  <c r="D153" i="40"/>
  <c r="E153" i="40" s="1"/>
  <c r="G152" i="40"/>
  <c r="G153" i="43"/>
  <c r="D154" i="43"/>
  <c r="E154" i="43" s="1"/>
  <c r="E155" i="43" s="1"/>
  <c r="D154" i="37"/>
  <c r="E154" i="37" s="1"/>
  <c r="E155" i="37" s="1"/>
  <c r="G153" i="37"/>
  <c r="G153" i="39"/>
  <c r="D154" i="39"/>
  <c r="E154" i="39" s="1"/>
  <c r="E155" i="39" s="1"/>
  <c r="H154" i="47" l="1"/>
  <c r="H155" i="47" s="1"/>
  <c r="I154" i="47"/>
  <c r="I155" i="47" s="1"/>
  <c r="H153" i="37"/>
  <c r="I153" i="37"/>
  <c r="H153" i="43"/>
  <c r="I153" i="43"/>
  <c r="F154" i="37"/>
  <c r="G154" i="37" s="1"/>
  <c r="B154" i="37"/>
  <c r="B154" i="39"/>
  <c r="F154" i="39"/>
  <c r="G154" i="39" s="1"/>
  <c r="H153" i="39"/>
  <c r="I153" i="39"/>
  <c r="I152" i="40"/>
  <c r="H152" i="40"/>
  <c r="B154" i="43"/>
  <c r="F154" i="43"/>
  <c r="G154" i="43" s="1"/>
  <c r="F153" i="40"/>
  <c r="B153" i="40"/>
  <c r="H154" i="39" l="1"/>
  <c r="H155" i="39" s="1"/>
  <c r="I154" i="39"/>
  <c r="I155" i="39" s="1"/>
  <c r="G153" i="40"/>
  <c r="D154" i="40"/>
  <c r="I154" i="43"/>
  <c r="I155" i="43" s="1"/>
  <c r="H154" i="43"/>
  <c r="H155" i="43" s="1"/>
  <c r="H154" i="37"/>
  <c r="H155" i="37" s="1"/>
  <c r="I154" i="37"/>
  <c r="I155" i="37" s="1"/>
  <c r="B154" i="40" l="1"/>
  <c r="I153" i="40"/>
  <c r="H153" i="40"/>
  <c r="E154" i="40"/>
  <c r="E155" i="40" s="1"/>
  <c r="F154" i="40" l="1"/>
  <c r="G154" i="40" s="1"/>
  <c r="H154" i="40" s="1"/>
  <c r="H155" i="40" s="1"/>
  <c r="I154" i="40" l="1"/>
  <c r="I155" i="40" s="1"/>
  <c r="I52" i="17" l="1"/>
  <c r="L45" i="17" l="1"/>
  <c r="V45" i="17" s="1"/>
  <c r="L36" i="17" l="1"/>
  <c r="V36" i="17" s="1"/>
  <c r="L31" i="17"/>
  <c r="V31" i="17" s="1"/>
  <c r="L37" i="17"/>
  <c r="V37" i="17" s="1"/>
  <c r="L26" i="17"/>
  <c r="V26" i="17" s="1"/>
  <c r="L33" i="17"/>
  <c r="V33" i="17" s="1"/>
  <c r="L22" i="17"/>
  <c r="V22" i="17" s="1"/>
  <c r="L24" i="17"/>
  <c r="V24" i="17" s="1"/>
  <c r="L25" i="17"/>
  <c r="V25" i="17" s="1"/>
  <c r="L43" i="17"/>
  <c r="V43" i="17" s="1"/>
  <c r="L41" i="17"/>
  <c r="V41" i="17" s="1"/>
  <c r="L34" i="17"/>
  <c r="V34" i="17" s="1"/>
  <c r="L32" i="17"/>
  <c r="V32" i="17" s="1"/>
  <c r="L20" i="17"/>
  <c r="V20" i="17" s="1"/>
  <c r="L19" i="17"/>
  <c r="V19" i="17" s="1"/>
  <c r="L21" i="17"/>
  <c r="V21" i="17" s="1"/>
  <c r="L29" i="17"/>
  <c r="V29" i="17" s="1"/>
  <c r="L28" i="17"/>
  <c r="V28" i="17" s="1"/>
  <c r="L23" i="17"/>
  <c r="V23" i="17" s="1"/>
  <c r="L44" i="17"/>
  <c r="V44" i="17" s="1"/>
  <c r="L40" i="17"/>
  <c r="V40" i="17" s="1"/>
  <c r="L38" i="17"/>
  <c r="V38" i="17" s="1"/>
  <c r="L30" i="17"/>
  <c r="V30" i="17" s="1"/>
  <c r="L27" i="17"/>
  <c r="V27" i="17" s="1"/>
  <c r="L35" i="17"/>
  <c r="V35" i="17" s="1"/>
  <c r="L42" i="17" l="1"/>
  <c r="V42" i="17" s="1"/>
  <c r="L39" i="17"/>
  <c r="V39" i="17" s="1"/>
  <c r="L18" i="17"/>
  <c r="K52" i="17" l="1"/>
  <c r="V18" i="17"/>
  <c r="V51" i="17" s="1"/>
  <c r="L51" i="17"/>
  <c r="Q20" i="17" l="1"/>
  <c r="Q21" i="17"/>
  <c r="R21" i="17" s="1"/>
  <c r="T21" i="17" s="1"/>
  <c r="Q45" i="17"/>
  <c r="R45" i="17" s="1"/>
  <c r="T45" i="17" s="1"/>
  <c r="Q19" i="17"/>
  <c r="R19" i="17" s="1"/>
  <c r="T19" i="17" s="1"/>
  <c r="Q18" i="17"/>
  <c r="Q47" i="17"/>
  <c r="R47" i="17" s="1"/>
  <c r="T47" i="17" s="1"/>
  <c r="Q46" i="17"/>
  <c r="R46" i="17" s="1"/>
  <c r="T46" i="17" s="1"/>
  <c r="Q48" i="17"/>
  <c r="R48" i="17" s="1"/>
  <c r="T48" i="17" s="1"/>
  <c r="Q38" i="17"/>
  <c r="R38" i="17" s="1"/>
  <c r="T38" i="17" s="1"/>
  <c r="Q26" i="17"/>
  <c r="R26" i="17" s="1"/>
  <c r="T26" i="17" s="1"/>
  <c r="Q29" i="17"/>
  <c r="R29" i="17" s="1"/>
  <c r="T29" i="17" s="1"/>
  <c r="Q33" i="17"/>
  <c r="R33" i="17" s="1"/>
  <c r="T33" i="17" s="1"/>
  <c r="Q31" i="17"/>
  <c r="R31" i="17" s="1"/>
  <c r="T31" i="17" s="1"/>
  <c r="Q37" i="17"/>
  <c r="R37" i="17" s="1"/>
  <c r="T37" i="17" s="1"/>
  <c r="Q34" i="17"/>
  <c r="R34" i="17" s="1"/>
  <c r="T34" i="17" s="1"/>
  <c r="Q36" i="17"/>
  <c r="R36" i="17" s="1"/>
  <c r="T36" i="17" s="1"/>
  <c r="Q44" i="17"/>
  <c r="R44" i="17" s="1"/>
  <c r="T44" i="17" s="1"/>
  <c r="Q41" i="17"/>
  <c r="R41" i="17" s="1"/>
  <c r="T41" i="17" s="1"/>
  <c r="Q30" i="17"/>
  <c r="R30" i="17" s="1"/>
  <c r="T30" i="17" s="1"/>
  <c r="Q28" i="17"/>
  <c r="R28" i="17" s="1"/>
  <c r="T28" i="17" s="1"/>
  <c r="R20" i="17"/>
  <c r="T20" i="17" s="1"/>
  <c r="Q27" i="17"/>
  <c r="R27" i="17" s="1"/>
  <c r="T27" i="17" s="1"/>
  <c r="Q35" i="17"/>
  <c r="R35" i="17" s="1"/>
  <c r="T35" i="17" s="1"/>
  <c r="Q43" i="17"/>
  <c r="R43" i="17" s="1"/>
  <c r="T43" i="17" s="1"/>
  <c r="Q32" i="17"/>
  <c r="R32" i="17" s="1"/>
  <c r="T32" i="17" s="1"/>
  <c r="Q25" i="17"/>
  <c r="R25" i="17" s="1"/>
  <c r="T25" i="17" s="1"/>
  <c r="Q40" i="17"/>
  <c r="R40" i="17" s="1"/>
  <c r="T40" i="17" s="1"/>
  <c r="Q24" i="17"/>
  <c r="R24" i="17" s="1"/>
  <c r="T24" i="17" s="1"/>
  <c r="Q22" i="17"/>
  <c r="R22" i="17" s="1"/>
  <c r="T22" i="17" s="1"/>
  <c r="Q23" i="17"/>
  <c r="R23" i="17" s="1"/>
  <c r="T23" i="17" s="1"/>
  <c r="Q42" i="17"/>
  <c r="R42" i="17" s="1"/>
  <c r="T42" i="17" s="1"/>
  <c r="Q39" i="17"/>
  <c r="R39" i="17" s="1"/>
  <c r="T39" i="17" s="1"/>
  <c r="R18" i="17" l="1"/>
  <c r="T18" i="17" s="1"/>
  <c r="T51" i="17" s="1"/>
  <c r="Q52" i="17"/>
  <c r="R51" i="17" l="1"/>
</calcChain>
</file>

<file path=xl/comments1.xml><?xml version="1.0" encoding="utf-8"?>
<comments xmlns="http://schemas.openxmlformats.org/spreadsheetml/2006/main">
  <authors>
    <author>R.Pennybaker</author>
    <author>AEP</author>
    <author>rlp</author>
    <author>S177040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 Descriptions are in cell [P.xxx]!$D$7]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Year In Service is in cell [P.xxx]!$D$11]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Base ARR is in cell [P.xxx]!$N$5]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Projected Incentive ARR is in WS-F cell N7.</t>
        </r>
      </text>
    </comment>
    <comment ref="I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"TRUE-UP Adjustment (i.e., Forecast Error) is from WS-G sheet [P.00x] in cell M89.</t>
        </r>
      </text>
    </comment>
    <comment ref="J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"Manually input from previous year's update "</t>
        </r>
        <r>
          <rPr>
            <i/>
            <sz val="8"/>
            <color indexed="81"/>
            <rFont val="Tahoma"/>
            <family val="2"/>
          </rPr>
          <t>Schedule 11 Rates by Project</t>
        </r>
        <r>
          <rPr>
            <sz val="8"/>
            <color indexed="81"/>
            <rFont val="Tahoma"/>
            <family val="2"/>
          </rPr>
          <t>" sheet column Q.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These values reflect SPP remittance to AEP of Schedule 11 revenues for prior Calendar Year T-service transactions.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can also be referred to as the Billing Error.</t>
        </r>
      </text>
    </comment>
    <comment ref="N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This is "Prior Year True-Up (WS-G)"; and "Incentive Amounts" O88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AEP:</t>
        </r>
        <r>
          <rPr>
            <sz val="8"/>
            <color indexed="81"/>
            <rFont val="Tahoma"/>
            <family val="2"/>
          </rPr>
          <t xml:space="preserve">
Prior Year Projected (WS-F) and Incentive Amounts [cell O87]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 xml:space="preserve">AEP:
</t>
        </r>
        <r>
          <rPr>
            <sz val="9"/>
            <color indexed="81"/>
            <rFont val="Tahoma"/>
            <family val="2"/>
          </rPr>
          <t xml:space="preserve">The SPP NTC only allows 94% of this project to be Base Plan.  Therefore, from 2014 Update onward, the indicated ATTR is based upon 94% of actual project investment.
In previous annual Updates, AEP provided 100% investment based ATRR thus SPP only collected 94% of the indicated ATRRs.  
Repeating:  from 2014 Update onward, no scaling is required by SPP as the indicated ATRR is already refelcting the 94% scaler per the original NTC.
</t>
        </r>
      </text>
    </comment>
    <comment ref="K51" authorId="2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This amount was booked by AEP during CY 2014.  Represents Sch. 11 revenues remitted from SPP&gt;</t>
        </r>
      </text>
    </comment>
    <comment ref="Q51" authorId="3" shapeId="0">
      <text>
        <r>
          <rPr>
            <b/>
            <sz val="9"/>
            <color indexed="81"/>
            <rFont val="Tahoma"/>
            <family val="2"/>
          </rPr>
          <t>S177040:</t>
        </r>
        <r>
          <rPr>
            <sz val="9"/>
            <color indexed="81"/>
            <rFont val="Tahoma"/>
            <family val="2"/>
          </rPr>
          <t xml:space="preserve">
From "33" Base Plan Interest file</t>
        </r>
      </text>
    </comment>
  </commentList>
</comments>
</file>

<file path=xl/comments2.xml><?xml version="1.0" encoding="utf-8"?>
<comments xmlns="http://schemas.openxmlformats.org/spreadsheetml/2006/main">
  <authors>
    <author>R.Pennybaker</author>
  </authors>
  <commentList>
    <comment ref="L19" authorId="0" shapeId="0">
      <text>
        <r>
          <rPr>
            <b/>
            <sz val="8"/>
            <color indexed="81"/>
            <rFont val="Tahoma"/>
            <family val="2"/>
          </rPr>
          <t>R.Pennybaker:</t>
        </r>
        <r>
          <rPr>
            <sz val="8"/>
            <color indexed="81"/>
            <rFont val="Tahoma"/>
            <family val="2"/>
          </rPr>
          <t xml:space="preserve">
This value comes from Formula Template file via data INPUT table below.  Then, it supuplies the project year value to the P.xxx sheets.</t>
        </r>
      </text>
    </comment>
  </commentList>
</comments>
</file>

<file path=xl/comments3.xml><?xml version="1.0" encoding="utf-8"?>
<comments xmlns="http://schemas.openxmlformats.org/spreadsheetml/2006/main">
  <authors>
    <author>rlp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previous years depreciation.</t>
        </r>
      </text>
    </comment>
  </commentList>
</comments>
</file>

<file path=xl/comments4.xml><?xml version="1.0" encoding="utf-8"?>
<comments xmlns="http://schemas.openxmlformats.org/spreadsheetml/2006/main">
  <authors>
    <author>Mary Williamson</author>
    <author>rlp</author>
  </authors>
  <commentList>
    <comment ref="O5" authorId="0" shapeId="0">
      <text>
        <r>
          <rPr>
            <b/>
            <sz val="9"/>
            <color indexed="81"/>
            <rFont val="Tahoma"/>
            <family val="2"/>
          </rPr>
          <t>Mary Williamson:</t>
        </r>
        <r>
          <rPr>
            <sz val="9"/>
            <color indexed="81"/>
            <rFont val="Tahoma"/>
            <family val="2"/>
          </rPr>
          <t xml:space="preserve">
Wavetrap at Snyder portion of this project is being DA to WFEC due to the cancellation of their power plant construction.</t>
        </r>
      </text>
    </comment>
    <comment ref="D100" authorId="1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Updated total investment less sum of prior year(s) depreciation.</t>
        </r>
      </text>
    </comment>
  </commentList>
</comments>
</file>

<file path=xl/comments5.xml><?xml version="1.0" encoding="utf-8"?>
<comments xmlns="http://schemas.openxmlformats.org/spreadsheetml/2006/main">
  <authors>
    <author>rlp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Projected 2008 ARR not published in 2008 update because project not included until 2009 update.</t>
        </r>
      </text>
    </comment>
  </commentList>
</comments>
</file>

<file path=xl/comments6.xml><?xml version="1.0" encoding="utf-8"?>
<comments xmlns="http://schemas.openxmlformats.org/spreadsheetml/2006/main">
  <authors>
    <author>rlp</author>
  </authors>
  <commentList>
    <comment ref="D2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(not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2007/6 historic values from 09 template calculations (not prev published).</t>
        </r>
      </text>
    </comment>
  </commentList>
</comments>
</file>

<file path=xl/comments7.xml><?xml version="1.0" encoding="utf-8"?>
<comments xmlns="http://schemas.openxmlformats.org/spreadsheetml/2006/main">
  <authors>
    <author>rlp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2009 &amp; prior historic values from 2010 template calculations (data not prev published).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2008/7 hist values from 09 template (not prev published).</t>
        </r>
      </text>
    </comment>
  </commentList>
</comments>
</file>

<file path=xl/comments8.xml><?xml version="1.0" encoding="utf-8"?>
<comments xmlns="http://schemas.openxmlformats.org/spreadsheetml/2006/main">
  <authors>
    <author>AEP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Per SPP NTC, Investment (EOY) is input as 94% of actual total investment provided by Planning.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AEP:</t>
        </r>
        <r>
          <rPr>
            <sz val="9"/>
            <color indexed="81"/>
            <rFont val="Tahoma"/>
            <family val="2"/>
          </rPr>
          <t xml:space="preserve">
This year's Beginning Balance changed by both an IU (investment update) as well as starting the 94% scaler.  This year (2014) reflects 1st year Investment (EOY) value is scaled 94% on the front end vs SPP scaling ARR values on the back end.</t>
        </r>
      </text>
    </comment>
  </commentList>
</comments>
</file>

<file path=xl/sharedStrings.xml><?xml version="1.0" encoding="utf-8"?>
<sst xmlns="http://schemas.openxmlformats.org/spreadsheetml/2006/main" count="4064" uniqueCount="382">
  <si>
    <t>I.</t>
  </si>
  <si>
    <t xml:space="preserve">   Project ROE Incentive Adder (Enter as whole number)</t>
  </si>
  <si>
    <t>&lt;==Incentive ROE  Cannot Exceed 12.45%</t>
  </si>
  <si>
    <t>SUMMARY OF PROJECTED ANNUAL BASE PLAN AND  NON-BASE PLAN REVENUE REQUIREMENTS</t>
  </si>
  <si>
    <t>%</t>
  </si>
  <si>
    <t>Cost</t>
  </si>
  <si>
    <t>Weighted cost</t>
  </si>
  <si>
    <t>Long Term Debt</t>
  </si>
  <si>
    <t>Rev Require</t>
  </si>
  <si>
    <t xml:space="preserve"> W Incentives</t>
  </si>
  <si>
    <t>Incentive Amounts</t>
  </si>
  <si>
    <t>Preferred Stock</t>
  </si>
  <si>
    <t>Common Stock</t>
  </si>
  <si>
    <t>PROJECTED YEAR</t>
  </si>
  <si>
    <t>R =</t>
  </si>
  <si>
    <r>
      <t xml:space="preserve">Note:  </t>
    </r>
    <r>
      <rPr>
        <sz val="10"/>
        <rFont val="Arial"/>
        <family val="2"/>
      </rPr>
      <t xml:space="preserve">Review formulas in summary to ensure the proper year's revenue requirement is being </t>
    </r>
  </si>
  <si>
    <t>accumulated for each project from the tables below.</t>
  </si>
  <si>
    <t xml:space="preserve">   R   (fom A. above)</t>
  </si>
  <si>
    <t xml:space="preserve">   Return (Rate Base  x  R)</t>
  </si>
  <si>
    <t xml:space="preserve">   Return   (from B. above)</t>
  </si>
  <si>
    <t xml:space="preserve">   EIT=(T/(1-T)) * (1-(WCLTD/WACC)) =</t>
  </si>
  <si>
    <t xml:space="preserve">   Income Tax Calculation  (Return  x  EIT)</t>
  </si>
  <si>
    <t xml:space="preserve">   Income Taxes</t>
  </si>
  <si>
    <t>II.</t>
  </si>
  <si>
    <t>A.   Determine Net Revenue Requirement less return and Income Taxes.</t>
  </si>
  <si>
    <t xml:space="preserve">   Net Revenue Requirement, Less Return and Taxes</t>
  </si>
  <si>
    <t xml:space="preserve">   Income Taxes  (from I.C. above)</t>
  </si>
  <si>
    <t xml:space="preserve">   Revenue Requirement w/ Gross Margin Taxes</t>
  </si>
  <si>
    <t xml:space="preserve">      Basis Point ROE increase (II B. above)</t>
  </si>
  <si>
    <t xml:space="preserve">       Apportioned Texas Revenues</t>
  </si>
  <si>
    <t xml:space="preserve">       Taxable, Apportioned Margin</t>
  </si>
  <si>
    <t xml:space="preserve">       Texas Gross Margin Tax Rate</t>
  </si>
  <si>
    <t xml:space="preserve">       Texas Gross Margin Tax Expense</t>
  </si>
  <si>
    <t xml:space="preserve">      Gross-up Required for Gross Margin Tax Expense </t>
  </si>
  <si>
    <t>Total Additional Gross Margin Tax Revenue Requirement</t>
  </si>
  <si>
    <t>III.</t>
  </si>
  <si>
    <t>Calculation of Composite Depreciation Rate</t>
  </si>
  <si>
    <t>Transmission Plant @ Beginning of Period (P.206, ln 58)</t>
  </si>
  <si>
    <t>Transmission Plant @ End of Period (P.207, ln 58)</t>
  </si>
  <si>
    <t>Composite Depreciation Rate</t>
  </si>
  <si>
    <t>Depreciable Life for Composite Depreciation Rate</t>
  </si>
  <si>
    <t>Round to nearest whole year</t>
  </si>
  <si>
    <t>IV.</t>
  </si>
  <si>
    <t>Determine the Revenue Requirement &amp; Additional Revenue Requirement for facilities receiving incentives.</t>
  </si>
  <si>
    <t>A.   Facilities receiving incentives accepted by FERC in Docket No.</t>
  </si>
  <si>
    <t xml:space="preserve">   (e.g. ER05-925-000)</t>
  </si>
  <si>
    <t xml:space="preserve">Project Description: </t>
  </si>
  <si>
    <t>Current Projected Year Incentive ARR</t>
  </si>
  <si>
    <t>DETAILS</t>
  </si>
  <si>
    <t>TP2006087</t>
  </si>
  <si>
    <t>Investment</t>
  </si>
  <si>
    <t>Current Year</t>
  </si>
  <si>
    <t>CUMMULATIVE HISTORY OF PROJECTED ANNUAL REVENUE REQUIREMENTS:</t>
  </si>
  <si>
    <t>Service Year (yyyy)</t>
  </si>
  <si>
    <t>ROE increase accepted by FERC (Basis Points)</t>
  </si>
  <si>
    <t>Service Month (1-12)</t>
  </si>
  <si>
    <t>FCR w/o incentives, less depreciation</t>
  </si>
  <si>
    <t xml:space="preserve">          TEMPLATE BELOW TO MAINTAIN HISTORY OF PROJECTED ARRS OVER THE </t>
  </si>
  <si>
    <t>Useful life</t>
  </si>
  <si>
    <t>FCR w/incentives approved for these facilities, less dep.</t>
  </si>
  <si>
    <t xml:space="preserve">         LIFE OF THE PROJECT.</t>
  </si>
  <si>
    <t>CIAC (Yes or No)</t>
  </si>
  <si>
    <t>No</t>
  </si>
  <si>
    <t>Annual Depreciation Expense</t>
  </si>
  <si>
    <t>Beginning</t>
  </si>
  <si>
    <t>Depreciation</t>
  </si>
  <si>
    <t>Ending</t>
  </si>
  <si>
    <t>Additional Rev.</t>
  </si>
  <si>
    <t>Project Rev Req't True-up</t>
  </si>
  <si>
    <t>True-up of Incentive</t>
  </si>
  <si>
    <t>Year</t>
  </si>
  <si>
    <t>Balance</t>
  </si>
  <si>
    <t>Expense</t>
  </si>
  <si>
    <t xml:space="preserve">Requirement </t>
  </si>
  <si>
    <t xml:space="preserve">with Incentives </t>
  </si>
  <si>
    <t xml:space="preserve">  </t>
  </si>
  <si>
    <t xml:space="preserve">w/o Incentives </t>
  </si>
  <si>
    <t>Project Totals</t>
  </si>
  <si>
    <t>additional incentive requirement is applicable for the life of this specific project.  Each year the revenue requirement calculated for SPP</t>
  </si>
  <si>
    <t xml:space="preserve">should be incremented by the amount of the incentive revenue calculated for that year on this project. </t>
  </si>
  <si>
    <t>TP2007059</t>
  </si>
  <si>
    <t>TP2006054</t>
  </si>
  <si>
    <t>TP2004147</t>
  </si>
  <si>
    <t>TP2005006</t>
  </si>
  <si>
    <t>Pryor Junction 138/69 Upgrade Transf</t>
  </si>
  <si>
    <t>TP2006090</t>
  </si>
  <si>
    <t>TP2007015</t>
  </si>
  <si>
    <t>TP2005046</t>
  </si>
  <si>
    <t>TP2004033</t>
  </si>
  <si>
    <t>SUMMARY OF TRUED-UP ANNUAL REVENUE REQUIREMENTS FOR SPP BPU &amp; NON-BPU PROJECTS</t>
  </si>
  <si>
    <t>TRUE-UP YEAR</t>
  </si>
  <si>
    <t>Determine the Revenue Requirement, and Additional Revenue Requirement for facilities receiving incentives.</t>
  </si>
  <si>
    <t>Project Description:</t>
  </si>
  <si>
    <t>Details</t>
  </si>
  <si>
    <t>True-Up Year</t>
  </si>
  <si>
    <t>CUMMULATIVE HISTORY OF TRUED-UP ANNUAL REVENUE REQUIREMENTS:</t>
  </si>
  <si>
    <t xml:space="preserve">          TEMPLATE BELOW TO MAINTAIN HISTORY OF TRUED-UP ARRS OVER THE </t>
  </si>
  <si>
    <t>Average</t>
  </si>
  <si>
    <t>Incentive Rev.</t>
  </si>
  <si>
    <t>BPU Rev Req't True-up</t>
  </si>
  <si>
    <r>
      <t xml:space="preserve">** </t>
    </r>
    <r>
      <rPr>
        <sz val="10"/>
        <rFont val="Arial"/>
        <family val="2"/>
      </rPr>
      <t xml:space="preserve"> This is the total amount that needs to be reported to SPP for billing to all regions. </t>
    </r>
  </si>
  <si>
    <t xml:space="preserve">Average </t>
  </si>
  <si>
    <t>BPU Rev. Req't.From Prior Year Template</t>
  </si>
  <si>
    <r>
      <t xml:space="preserve">   Return   (from </t>
    </r>
    <r>
      <rPr>
        <sz val="10"/>
        <rFont val="MS Serif"/>
        <family val="1"/>
      </rPr>
      <t>I</t>
    </r>
    <r>
      <rPr>
        <sz val="10"/>
        <rFont val="Arial"/>
        <family val="2"/>
      </rPr>
      <t>.B. above)</t>
    </r>
  </si>
  <si>
    <r>
      <t xml:space="preserve">Requirement </t>
    </r>
    <r>
      <rPr>
        <b/>
        <sz val="10"/>
        <color indexed="10"/>
        <rFont val="Arial"/>
        <family val="2"/>
      </rPr>
      <t>##</t>
    </r>
  </si>
  <si>
    <r>
      <t>with Incentives</t>
    </r>
    <r>
      <rPr>
        <b/>
        <sz val="10"/>
        <color indexed="10"/>
        <rFont val="Arial"/>
        <family val="2"/>
      </rPr>
      <t xml:space="preserve"> **</t>
    </r>
  </si>
  <si>
    <r>
      <t>##</t>
    </r>
    <r>
      <rPr>
        <b/>
        <sz val="10"/>
        <rFont val="Arial"/>
        <family val="2"/>
      </rPr>
      <t xml:space="preserve"> This is the calculation of  additional incentive revenue on projects deemed by the FERC to be eligible for an incentive return.  This</t>
    </r>
  </si>
  <si>
    <r>
      <t xml:space="preserve">##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</si>
  <si>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>inset project name here</t>
  </si>
  <si>
    <t>Long Term Debt %</t>
  </si>
  <si>
    <t>Long Term Debt Cost</t>
  </si>
  <si>
    <t>Preferred Stock %</t>
  </si>
  <si>
    <t>Preferred Stock Cost</t>
  </si>
  <si>
    <t>Common Stock %</t>
  </si>
  <si>
    <t>EXPORT DATA to Template PSO WS F</t>
  </si>
  <si>
    <t>STEP 2</t>
  </si>
  <si>
    <t>STEP 3</t>
  </si>
  <si>
    <t>PSO</t>
  </si>
  <si>
    <t xml:space="preserve">       Apportionment Factor to Texas (Worksheet K, ln 12)</t>
  </si>
  <si>
    <t>Black text is not used in this workbook.</t>
  </si>
  <si>
    <t>Blue text is used by this workbbok and driven by non WS-F Formula Rate template worksheets</t>
  </si>
  <si>
    <t>SEE INPUT/OUTPUT ranges to the right  ----&gt;</t>
  </si>
  <si>
    <t>SEE INPUT/OUTPUT ranges to the right  ------&gt;</t>
  </si>
  <si>
    <t xml:space="preserve">AEP West SPP Member Companies </t>
  </si>
  <si>
    <t>PUBLIC SERVICE COMPANY OF OKLAHOMA</t>
  </si>
  <si>
    <t>See INPUT/OUTPUT ranges below.</t>
  </si>
  <si>
    <t>STEP 1</t>
  </si>
  <si>
    <t>Is done first in the main Formula Rate template  Worksheet F.</t>
  </si>
  <si>
    <t>STEP 4</t>
  </si>
  <si>
    <t>Is done last in the main Formula Rate template  Worksheet F.</t>
  </si>
  <si>
    <t>Copy to main FR Template</t>
  </si>
  <si>
    <t>Project Description</t>
  </si>
  <si>
    <t>Is done first in the main Formula Rate template  Worksheet G.</t>
  </si>
  <si>
    <t>Is done last in the main Formula Rate template  Worksheet G.</t>
  </si>
  <si>
    <t>EXPORT DATA to main FR Template PSO WS G</t>
  </si>
  <si>
    <t>Blue text below is used by this workbbok and comes from main Formula Rate template WS-G sheet.</t>
  </si>
  <si>
    <t>As Projected in Prior Year WS F   Rev Require</t>
  </si>
  <si>
    <t>As Projected in Prior Year WS F    W Incentives</t>
  </si>
  <si>
    <t>Actual after True-up Rev Require</t>
  </si>
  <si>
    <t>Actual after True-up  W Incentives</t>
  </si>
  <si>
    <r>
      <t>Worksheet F</t>
    </r>
    <r>
      <rPr>
        <sz val="14"/>
        <rFont val="Arial"/>
        <family val="2"/>
      </rPr>
      <t xml:space="preserve"> - Calculation of PROJECTED Annual Revenue Requirement for BPU and Special-billed Projects</t>
    </r>
  </si>
  <si>
    <r>
      <t>Worksheet G</t>
    </r>
    <r>
      <rPr>
        <sz val="14"/>
        <rFont val="Arial"/>
        <family val="2"/>
      </rPr>
      <t xml:space="preserve"> - Calculation of TRUED-UP Annual Revenue Requirement for BPU and Special-billed Projects</t>
    </r>
  </si>
  <si>
    <t>Worksheet F --- DATA INPUT (Paste.Values) from TEMPLATE PSO WS F</t>
  </si>
  <si>
    <t>&lt;----Worksheet data is for</t>
  </si>
  <si>
    <t>Worksheet F</t>
  </si>
  <si>
    <t>Worksheet G</t>
  </si>
  <si>
    <r>
      <t>Worksheet G  --  PUBLIC SERVICE COMPANY OF OKLAHOMA  --  Calculation of "</t>
    </r>
    <r>
      <rPr>
        <b/>
        <u/>
        <sz val="16"/>
        <rFont val="Arial"/>
        <family val="2"/>
      </rPr>
      <t>Trued-Up</t>
    </r>
    <r>
      <rPr>
        <b/>
        <sz val="16"/>
        <rFont val="Arial"/>
        <family val="2"/>
      </rPr>
      <t>" ARR for SPP Base Plan Upgrade Projects</t>
    </r>
  </si>
  <si>
    <r>
      <t>Worksheet F  --  PUBLIC SERVICE COMPANY OF OKLAHOMA  --  Calculation of "</t>
    </r>
    <r>
      <rPr>
        <b/>
        <u/>
        <sz val="16"/>
        <rFont val="Arial"/>
        <family val="2"/>
      </rPr>
      <t>Projected</t>
    </r>
    <r>
      <rPr>
        <b/>
        <sz val="16"/>
        <rFont val="Arial"/>
        <family val="2"/>
      </rPr>
      <t>" ARR for SPP Base Plan Upgrade Projects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</si>
  <si>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</si>
  <si>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r>
      <t>##</t>
    </r>
    <r>
      <rPr>
        <sz val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This is the calculation of  additional incentive revenue on projects deemed by the FERC to be eligible for an incentive return.  This</t>
    </r>
  </si>
  <si>
    <t xml:space="preserve">(Worksheet F)    </t>
  </si>
  <si>
    <t xml:space="preserve">(Worksheet G)    </t>
  </si>
  <si>
    <t>basis points</t>
  </si>
  <si>
    <t>w/Incentives</t>
  </si>
  <si>
    <t xml:space="preserve">Prior Year Projected  (WS-F)  </t>
  </si>
  <si>
    <t xml:space="preserve">Prior Year True-Up  (WS-G)  </t>
  </si>
  <si>
    <t xml:space="preserve">True-Up Adjustment  </t>
  </si>
  <si>
    <t>AEP Transmission Formula Rate Template</t>
  </si>
  <si>
    <t xml:space="preserve">AEP Schedule 11 Revenue Requirement Including True-Up of Prior Collections </t>
  </si>
  <si>
    <t>(A)</t>
  </si>
  <si>
    <t>(B)</t>
  </si>
  <si>
    <t>(C )</t>
  </si>
  <si>
    <t>(D)</t>
  </si>
  <si>
    <t>(E)</t>
  </si>
  <si>
    <t>(F)</t>
  </si>
  <si>
    <t>(H)</t>
  </si>
  <si>
    <t>(I)</t>
  </si>
  <si>
    <t>(M)</t>
  </si>
  <si>
    <t>Base ARR</t>
  </si>
  <si>
    <t>Owner</t>
  </si>
  <si>
    <t>Year in Service</t>
  </si>
  <si>
    <t>Incentive</t>
  </si>
  <si>
    <t>Total</t>
  </si>
  <si>
    <t>True-up</t>
  </si>
  <si>
    <t>As Billed</t>
  </si>
  <si>
    <t>Change</t>
  </si>
  <si>
    <t>Interest</t>
  </si>
  <si>
    <t>PSO Total</t>
  </si>
  <si>
    <t>P.001</t>
  </si>
  <si>
    <t>Sheet Name</t>
  </si>
  <si>
    <t>P.002</t>
  </si>
  <si>
    <t>P.003</t>
  </si>
  <si>
    <t>P.004</t>
  </si>
  <si>
    <t>P.005</t>
  </si>
  <si>
    <t>P.006</t>
  </si>
  <si>
    <t>P.007</t>
  </si>
  <si>
    <t>P.008</t>
  </si>
  <si>
    <t>P.009</t>
  </si>
  <si>
    <t>Indirect References</t>
  </si>
  <si>
    <r>
      <t xml:space="preserve">Calculation of Schedule </t>
    </r>
    <r>
      <rPr>
        <sz val="12"/>
        <rFont val="Arial"/>
        <family val="2"/>
      </rPr>
      <t>11 Revenue Requirements For AEP Transmission Projects</t>
    </r>
  </si>
  <si>
    <r>
      <t xml:space="preserve">   DO </t>
    </r>
    <r>
      <rPr>
        <b/>
        <sz val="10"/>
        <color indexed="10"/>
        <rFont val="Arial"/>
        <family val="2"/>
      </rPr>
      <t>NOT</t>
    </r>
    <r>
      <rPr>
        <b/>
        <sz val="10"/>
        <rFont val="Arial"/>
        <family val="2"/>
      </rPr>
      <t xml:space="preserve"> delete this row or the formulas above will not work.</t>
    </r>
  </si>
  <si>
    <t>from WS-F &amp; G</t>
  </si>
  <si>
    <t>Do NOT delete.</t>
  </si>
  <si>
    <r>
      <t xml:space="preserve">TRUE-UP Adjustment </t>
    </r>
    <r>
      <rPr>
        <sz val="10"/>
        <rFont val="Arial"/>
        <family val="2"/>
      </rPr>
      <t>(WS-G)</t>
    </r>
  </si>
  <si>
    <r>
      <t xml:space="preserve">Base ARR
</t>
    </r>
    <r>
      <rPr>
        <sz val="10"/>
        <rFont val="Arial"/>
        <family val="2"/>
      </rPr>
      <t>(WS-F)</t>
    </r>
  </si>
  <si>
    <t>COLLECTION Adjustment</t>
  </si>
  <si>
    <t>Incentive ARR</t>
  </si>
  <si>
    <t>(J)</t>
  </si>
  <si>
    <t>(L)</t>
  </si>
  <si>
    <t>(O)</t>
  </si>
  <si>
    <t>Total Adjustments before Interest</t>
  </si>
  <si>
    <t>the column above</t>
  </si>
  <si>
    <t>is used to feed interest</t>
  </si>
  <si>
    <t>calculation engine and its</t>
  </si>
  <si>
    <t>output is put into the interest</t>
  </si>
  <si>
    <t>PROJECTED Rev. Req't From Prior Year Template</t>
  </si>
  <si>
    <t>Catoosa 138 kV Device (Cap. Bank)</t>
  </si>
  <si>
    <t>Cache-Snyder to Altus Jct. 138 kV line (w/2 ring bus stations)</t>
  </si>
  <si>
    <t>WFEC New 138 kV Ties: Sayre to Erick (WFEC) Line &amp; Atoka and Tupelo station work</t>
  </si>
  <si>
    <t>Riverside-Glenpool (81-523) Reconductor</t>
  </si>
  <si>
    <t>Craig Jct. to Broken Bow Dam 138 Rebuild (7.7mi)</t>
  </si>
  <si>
    <t>TRUE-UP Rev. Req't.From Prior Year Template</t>
  </si>
  <si>
    <t xml:space="preserve"> Worksheet G</t>
  </si>
  <si>
    <r>
      <t xml:space="preserve">As Billed
by SPP
</t>
    </r>
    <r>
      <rPr>
        <sz val="10"/>
        <rFont val="Arial"/>
        <family val="2"/>
      </rPr>
      <t>(for Prior Yr
T-Service)</t>
    </r>
  </si>
  <si>
    <t>Elk City - Elk City 69 kV line (CT Upgrades)*</t>
  </si>
  <si>
    <t>Weleetka &amp; Okmulgee Wavetrap replacement 81-805*</t>
  </si>
  <si>
    <t>Tulsa Southeast Upgrade (repl switches)*</t>
  </si>
  <si>
    <t>*&lt;$100K investment</t>
  </si>
  <si>
    <t xml:space="preserve">∑ Prior Year True-Up  (WS-G)  </t>
  </si>
  <si>
    <t xml:space="preserve">∑ Prior Year Projected  (WS-F)  </t>
  </si>
  <si>
    <r>
      <t xml:space="preserve">Total Adjustments
</t>
    </r>
    <r>
      <rPr>
        <sz val="8"/>
        <rFont val="Arial"/>
        <family val="2"/>
      </rPr>
      <t>(True-Up, Billing, &amp; Interest)</t>
    </r>
  </si>
  <si>
    <t>TP2009011</t>
  </si>
  <si>
    <t>P.010</t>
  </si>
  <si>
    <t>Projected ADJUSTED ARR from Prior Update</t>
  </si>
  <si>
    <t>*</t>
  </si>
  <si>
    <t>column to left (Q).</t>
  </si>
  <si>
    <t>Investment (EOY)</t>
  </si>
  <si>
    <t>Worksheet G ---- DATA INPUT (Paste.Values) from main FR TEMPLATE PSO WS G</t>
  </si>
  <si>
    <t>TP2008079-PSO</t>
  </si>
  <si>
    <t>Bartlesville SE to Coffeyville T Rebuild</t>
  </si>
  <si>
    <t>P.011</t>
  </si>
  <si>
    <t xml:space="preserve">   Determine R  (cost of long term debt, cost of preferred stock and percent is from Projected TCOS, lns 147 through 149)</t>
  </si>
  <si>
    <t xml:space="preserve">   Rate Base  (True-Up TCOS, ln 63)</t>
  </si>
  <si>
    <t xml:space="preserve">   Net Transmission Plant  (True-Up TCOS, ln 39)</t>
  </si>
  <si>
    <t xml:space="preserve">   FCR less Depreciation  (True-Up TCOS, ln 12)</t>
  </si>
  <si>
    <t xml:space="preserve">   Determine R  (cost of long term debt, cost of preferred stock and percent is from True-Up TCOS, lns 134 through 136)</t>
  </si>
  <si>
    <t>TP2009095-PSO</t>
  </si>
  <si>
    <t>Canadian River - McAlester City 138 kV Line Conversion</t>
  </si>
  <si>
    <t>P.012</t>
  </si>
  <si>
    <t>TP2008013</t>
  </si>
  <si>
    <t>P.013</t>
  </si>
  <si>
    <t>TP2009092</t>
  </si>
  <si>
    <t>Ashdown West - Craig Junction</t>
  </si>
  <si>
    <t>P.014</t>
  </si>
  <si>
    <t>NOTE:</t>
  </si>
  <si>
    <t>To INSERT a new project line item (row)</t>
  </si>
  <si>
    <t>1.   Insert blank row(s) for new project(s) between TOTAL row and existing last project row.</t>
  </si>
  <si>
    <t>2.  Copy entire contents of last project Row, then Paste into new blank row(s), again….leave 1 blank row to maintain summing formulas.</t>
  </si>
  <si>
    <t>0a.  Always maintain a blank row between TOTAL and last project (this maintains summing formulas in Totalization row.</t>
  </si>
  <si>
    <t>0b.   Always add and fill out new P.0xx Project Sheet(s) before inserting rows on this summary sheet.</t>
  </si>
  <si>
    <t>3.  In the SheetName column in this sheet…change the P.0xx type number(s) to match the corresponding newly added P.0xx sheets.</t>
  </si>
  <si>
    <t>WFEC DA Adjustment</t>
  </si>
  <si>
    <t>TP2009093</t>
  </si>
  <si>
    <t>Locust Grove to Lone Star 115 kV Rebuild 2.1 miles</t>
  </si>
  <si>
    <t>TP2011093</t>
  </si>
  <si>
    <t>Cornville Station Conversion</t>
  </si>
  <si>
    <t>P.015</t>
  </si>
  <si>
    <t>P.016</t>
  </si>
  <si>
    <t>Wavetrap Clinton City-Foss Tap 69kV Ckt 1*</t>
  </si>
  <si>
    <t>CoffeyvilleT to Dearing 138 kv Rebuild - 1.1 mi*</t>
  </si>
  <si>
    <t>Note:  Project's whose investment cost do NOT meet SPP's $100,000 threshold for 'regional' socialization are marked with an asterik "*" as SPP will only collect those ATRRs from the zone.</t>
  </si>
  <si>
    <t xml:space="preserve">  SPP Project ID = 649</t>
  </si>
  <si>
    <t xml:space="preserve">  SPP Project ID = 30346</t>
  </si>
  <si>
    <t>NOTE:  Original NTC indicates only 94% to be Base Plan.</t>
  </si>
  <si>
    <t>&lt;&lt; 2014-present ARR values based on 94% actual cost.  Yrs 2011-13 ARR values based on 100% actual cost (SPP scaled ARR data) &gt;&gt;</t>
  </si>
  <si>
    <t>Grady Customer Connection</t>
  </si>
  <si>
    <t>Darlington-Red Rock 138 kV line</t>
  </si>
  <si>
    <t>P.017</t>
  </si>
  <si>
    <t>P.018</t>
  </si>
  <si>
    <t>***Sch. 11 recovery commenced in 2015 rate year***</t>
  </si>
  <si>
    <t xml:space="preserve"> &lt;--- this value goes to sched 11 interest support file - line 17</t>
  </si>
  <si>
    <t>2013</t>
  </si>
  <si>
    <t>2014</t>
  </si>
  <si>
    <t>TP2012112</t>
  </si>
  <si>
    <t xml:space="preserve">***Sch. 11 recovery commenced in the 2015 rate year.  Beg Bal = to depreciated balance as of 1/1/15. *** </t>
  </si>
  <si>
    <t>P.019</t>
  </si>
  <si>
    <t>P.020</t>
  </si>
  <si>
    <t>P.021</t>
  </si>
  <si>
    <t>P.022</t>
  </si>
  <si>
    <t>Darlington-Roman Nose 138 kV</t>
  </si>
  <si>
    <t>Northeastern Station 138 kV Terminal Upgrades</t>
  </si>
  <si>
    <t>Valliant-NW Texarkana 345 kV</t>
  </si>
  <si>
    <t>Sayre 138 kV Capacitor Bank Addition</t>
  </si>
  <si>
    <t>&lt;==From Input on Worksheet A</t>
  </si>
  <si>
    <t>Current Projected Year ARR</t>
  </si>
  <si>
    <t>Current Projected Year ARR w/ Incentive</t>
  </si>
  <si>
    <t>Beg/Ending 
Average
Revenue</t>
  </si>
  <si>
    <t>Beg/Ending
Average
Revenue Req't.</t>
  </si>
  <si>
    <t xml:space="preserve">       Taxable Percentage of Revenue (22%)</t>
  </si>
  <si>
    <t xml:space="preserve">Worksheet F </t>
  </si>
  <si>
    <t>TP2013002</t>
  </si>
  <si>
    <t xml:space="preserve">  SPP Project ID = 30748</t>
  </si>
  <si>
    <t xml:space="preserve">  SPP Project ID = 770</t>
  </si>
  <si>
    <t xml:space="preserve">  SPP Project ID = 295</t>
  </si>
  <si>
    <t xml:space="preserve">  SPP Project ID = 767</t>
  </si>
  <si>
    <t>TP2009089</t>
  </si>
  <si>
    <t xml:space="preserve">  SPP Project ID = 936</t>
  </si>
  <si>
    <t>TP2015202</t>
  </si>
  <si>
    <t xml:space="preserve">  SPP Project ID = 30997</t>
  </si>
  <si>
    <t>TP2015027</t>
  </si>
  <si>
    <t xml:space="preserve">  SPP Project ID = 30619</t>
  </si>
  <si>
    <t>TP2015169</t>
  </si>
  <si>
    <t xml:space="preserve">  SPP Project ID = 31003</t>
  </si>
  <si>
    <t>Elk City 138KV Move Load</t>
  </si>
  <si>
    <t>TP2011110</t>
  </si>
  <si>
    <t xml:space="preserve">  SPP Project ID = 31005</t>
  </si>
  <si>
    <t>Duncan-Comanche Tap 69 KV Rebuild</t>
  </si>
  <si>
    <t>TP2015191</t>
  </si>
  <si>
    <t xml:space="preserve">  SPP Project ID = 31009</t>
  </si>
  <si>
    <t>P.023</t>
  </si>
  <si>
    <t>P.024</t>
  </si>
  <si>
    <t xml:space="preserve">   ROE w/o incentives  (True-Up TCOS, ln 135)</t>
  </si>
  <si>
    <t xml:space="preserve">   Tax Rate  (True-Up TCOS, ln 105)</t>
  </si>
  <si>
    <t xml:space="preserve">   ITC Adjustment  (True-Up TCOS, ln 102)</t>
  </si>
  <si>
    <t xml:space="preserve">   Net Revenue Requirement  (True-Up TCOS, ln 109)</t>
  </si>
  <si>
    <t xml:space="preserve">   Return  (True-Up TCOS, ln 104)</t>
  </si>
  <si>
    <t xml:space="preserve">   Income Taxes  (True-Up TCOS, ln 103)</t>
  </si>
  <si>
    <t xml:space="preserve">  Gross Margin Taxes  (True-Up TCOS, ln 108)</t>
  </si>
  <si>
    <t xml:space="preserve">   Less: Depreciation  (True-Up TCOS, ln 82)</t>
  </si>
  <si>
    <t>Annual Depreciation Expense  (True-Up TCOS, ln 82)</t>
  </si>
  <si>
    <t>Fort Towson-Valliant Line Rebuild</t>
  </si>
  <si>
    <t>TP2015204</t>
  </si>
  <si>
    <t>P.025</t>
  </si>
  <si>
    <t>Transmission Plant Average Balance for 2018</t>
  </si>
  <si>
    <t xml:space="preserve">   Excess DFIT Adjustment  (TCOS, ln 109)</t>
  </si>
  <si>
    <t xml:space="preserve">   Tax Effect of Permanent and Flow Through Differences (TCOS, ln 110)</t>
  </si>
  <si>
    <t>21% &amp; 11.2 ROE</t>
  </si>
  <si>
    <t>35% &amp; 11.2 ROE</t>
  </si>
  <si>
    <t>E - F</t>
  </si>
  <si>
    <t xml:space="preserve">   Net Transmission Plant  (TCOS, ln 37)</t>
  </si>
  <si>
    <t>P.026</t>
  </si>
  <si>
    <t>P.027</t>
  </si>
  <si>
    <t>Tulsa Southeast - E. 61st St 138 kV Rebuild</t>
  </si>
  <si>
    <t>Broken Arrow North-Lynn Lane East 138 kV</t>
  </si>
  <si>
    <t>TP2017011</t>
  </si>
  <si>
    <t>TP2017016</t>
  </si>
  <si>
    <t>Keystone Dam - Wekiwa 138 kV</t>
  </si>
  <si>
    <t xml:space="preserve">  SPP Project ID = 41233</t>
  </si>
  <si>
    <t>P.028</t>
  </si>
  <si>
    <t>TP2015118</t>
  </si>
  <si>
    <t xml:space="preserve">  SPP Project ID = 30809</t>
  </si>
  <si>
    <t xml:space="preserve">  SPP Project ID = 41202</t>
  </si>
  <si>
    <t xml:space="preserve">  SPP Project ID = 31058</t>
  </si>
  <si>
    <t xml:space="preserve">  SPP Project ID = 30746</t>
  </si>
  <si>
    <t xml:space="preserve">  SPP Project ID = 446</t>
  </si>
  <si>
    <t xml:space="preserve">  SPP Project ID = 289</t>
  </si>
  <si>
    <t xml:space="preserve">  SPP Project ID = 46</t>
  </si>
  <si>
    <t xml:space="preserve">  SPP Project ID = 3</t>
  </si>
  <si>
    <t xml:space="preserve">  SPP Project ID = 118</t>
  </si>
  <si>
    <t xml:space="preserve">  SPP Project ID = 110</t>
  </si>
  <si>
    <t xml:space="preserve">  SPP Project ID = 30001</t>
  </si>
  <si>
    <t xml:space="preserve">  SPP Project ID = 106</t>
  </si>
  <si>
    <t xml:space="preserve">  SPP Project ID = 112</t>
  </si>
  <si>
    <t xml:space="preserve">  SPP Project ID = 230</t>
  </si>
  <si>
    <t xml:space="preserve">  SPP Project ID = 220</t>
  </si>
  <si>
    <t>Projected Year</t>
  </si>
  <si>
    <t xml:space="preserve">   ROE w/o incentives  (TCOS, ln 143)</t>
  </si>
  <si>
    <t xml:space="preserve">   Rate Base  (TCOS, ln 63)</t>
  </si>
  <si>
    <t xml:space="preserve">   Tax Rate  (TCOS, ln 99)</t>
  </si>
  <si>
    <t xml:space="preserve">   ITC Adjustment  (TCOS, ln 108)</t>
  </si>
  <si>
    <t xml:space="preserve">   Tax Effect of Permanent and Flow Through Differences  (TCOS, ln 110)</t>
  </si>
  <si>
    <t xml:space="preserve">   Net Revenue Requirement  (TCOS, ln 117)</t>
  </si>
  <si>
    <t xml:space="preserve">   Return  (TCOS, ln 112)</t>
  </si>
  <si>
    <t xml:space="preserve">   Income Taxes  (TCOS, ln 111)</t>
  </si>
  <si>
    <t xml:space="preserve">  Gross Margin Taxes  (TCOS, ln 116)</t>
  </si>
  <si>
    <t xml:space="preserve">   Less: Depreciation  (TCOS, ln 86)</t>
  </si>
  <si>
    <t xml:space="preserve">   FCR less Depreciation  (TCOS, ln 10)</t>
  </si>
  <si>
    <t>Annual Depreciation Expense  (TCOS, ln 86)</t>
  </si>
  <si>
    <t>Pryor Junction 138/115 kV</t>
  </si>
  <si>
    <t>TP2019132</t>
  </si>
  <si>
    <t xml:space="preserve">  SPP Project ID = 81571</t>
  </si>
  <si>
    <t>Tulsa SE - E 21st St Tap 138 kV</t>
  </si>
  <si>
    <t>TP2020033</t>
  </si>
  <si>
    <t xml:space="preserve">  SPP Project ID = 81523</t>
  </si>
  <si>
    <t>Tulsa SE - S Hudson 138 kV</t>
  </si>
  <si>
    <t>TP20033002</t>
  </si>
  <si>
    <t xml:space="preserve">  SPP Project ID = 81520</t>
  </si>
  <si>
    <t>P.029</t>
  </si>
  <si>
    <t>P.030</t>
  </si>
  <si>
    <t>P.031</t>
  </si>
  <si>
    <t>True-Up ARR CY 2020 From Worksheet G  (includes adjustment for SPP Collections)</t>
  </si>
  <si>
    <t>Transmission Plant Average Balance for 2022 (WS A-1 Ln 14 Col (d))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</si>
</sst>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  <numFmt numFmtId="167" formatCode="0.0000"/>
    <numFmt numFmtId="168" formatCode="&quot;$&quot;#,##0"/>
    <numFmt numFmtId="169" formatCode="&quot;$&quot;#,##0.00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.0000_);_(* \(#,##0.0000\);_(* &quot;-&quot;????_);_(@_)"/>
    <numFmt numFmtId="173" formatCode="_(* #,##0.0000_);_(* \(#,##0.0000\);_(* &quot;-&quot;_);_(@_)"/>
    <numFmt numFmtId="174" formatCode="_(* #,##0.00000_);_(* \(#,##0.00000\);_(* &quot;-&quot;??_);_(@_)"/>
    <numFmt numFmtId="175" formatCode="_(&quot;$&quot;* #,##0.0000000_);_(&quot;$&quot;* \(#,##0.0000000\);_(&quot;$&quot;* &quot;-&quot;??_);_(@_)"/>
    <numFmt numFmtId="176" formatCode="_(* #,##0.0000000000_);_(* \(#,##0.0000000000\);_(* &quot;-&quot;??_);_(@_)"/>
    <numFmt numFmtId="177" formatCode="_(* #,##0.000000_);_(* \(#,##0.000000\);_(* &quot;-&quot;??_);_(@_)"/>
    <numFmt numFmtId="178" formatCode="&quot;$&quot;#,##0\ ;\(&quot;$&quot;#,##0\)"/>
    <numFmt numFmtId="179" formatCode="_(* #,##0.0,_);_(* \(#,##0.0,\);_(* &quot;-   &quot;_);_(@_)"/>
    <numFmt numFmtId="180" formatCode="0.0000%"/>
    <numFmt numFmtId="181" formatCode="_(* #,##0.000_);_(* \(#,##0.000\);_(* &quot;-&quot;??_);_(@_)"/>
  </numFmts>
  <fonts count="123">
    <font>
      <sz val="10"/>
      <name val="Arial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12"/>
      <name val="Arial MT"/>
    </font>
    <font>
      <b/>
      <sz val="11"/>
      <color indexed="63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4"/>
      <name val="Arial"/>
      <family val="2"/>
    </font>
    <font>
      <b/>
      <sz val="14"/>
      <name val="MS Serif"/>
      <family val="1"/>
    </font>
    <font>
      <u/>
      <sz val="10"/>
      <name val="Arial"/>
      <family val="2"/>
    </font>
    <font>
      <sz val="10"/>
      <name val="MS Serif"/>
      <family val="1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Accounting"/>
      <sz val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b/>
      <i/>
      <sz val="8"/>
      <color indexed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sz val="10"/>
      <color indexed="57"/>
      <name val="Arial"/>
      <family val="2"/>
    </font>
    <font>
      <sz val="14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2"/>
      <color indexed="12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i/>
      <sz val="8"/>
      <color indexed="81"/>
      <name val="Tahoma"/>
      <family val="2"/>
    </font>
    <font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0"/>
      <color indexed="8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5">
    <xf numFmtId="0" fontId="0" fillId="0" borderId="0"/>
    <xf numFmtId="0" fontId="2" fillId="2" borderId="0" applyNumberFormat="0" applyBorder="0" applyAlignment="0" applyProtection="0"/>
    <xf numFmtId="0" fontId="104" fillId="30" borderId="0" applyNumberFormat="0" applyBorder="0" applyAlignment="0" applyProtection="0"/>
    <xf numFmtId="0" fontId="81" fillId="2" borderId="0" applyNumberFormat="0" applyBorder="0" applyAlignment="0" applyProtection="0"/>
    <xf numFmtId="0" fontId="2" fillId="3" borderId="0" applyNumberFormat="0" applyBorder="0" applyAlignment="0" applyProtection="0"/>
    <xf numFmtId="0" fontId="104" fillId="31" borderId="0" applyNumberFormat="0" applyBorder="0" applyAlignment="0" applyProtection="0"/>
    <xf numFmtId="0" fontId="81" fillId="3" borderId="0" applyNumberFormat="0" applyBorder="0" applyAlignment="0" applyProtection="0"/>
    <xf numFmtId="0" fontId="2" fillId="4" borderId="0" applyNumberFormat="0" applyBorder="0" applyAlignment="0" applyProtection="0"/>
    <xf numFmtId="0" fontId="104" fillId="32" borderId="0" applyNumberFormat="0" applyBorder="0" applyAlignment="0" applyProtection="0"/>
    <xf numFmtId="0" fontId="81" fillId="4" borderId="0" applyNumberFormat="0" applyBorder="0" applyAlignment="0" applyProtection="0"/>
    <xf numFmtId="0" fontId="2" fillId="5" borderId="0" applyNumberFormat="0" applyBorder="0" applyAlignment="0" applyProtection="0"/>
    <xf numFmtId="0" fontId="104" fillId="33" borderId="0" applyNumberFormat="0" applyBorder="0" applyAlignment="0" applyProtection="0"/>
    <xf numFmtId="0" fontId="81" fillId="5" borderId="0" applyNumberFormat="0" applyBorder="0" applyAlignment="0" applyProtection="0"/>
    <xf numFmtId="0" fontId="2" fillId="6" borderId="0" applyNumberFormat="0" applyBorder="0" applyAlignment="0" applyProtection="0"/>
    <xf numFmtId="0" fontId="104" fillId="34" borderId="0" applyNumberFormat="0" applyBorder="0" applyAlignment="0" applyProtection="0"/>
    <xf numFmtId="0" fontId="81" fillId="6" borderId="0" applyNumberFormat="0" applyBorder="0" applyAlignment="0" applyProtection="0"/>
    <xf numFmtId="0" fontId="2" fillId="7" borderId="0" applyNumberFormat="0" applyBorder="0" applyAlignment="0" applyProtection="0"/>
    <xf numFmtId="0" fontId="104" fillId="35" borderId="0" applyNumberFormat="0" applyBorder="0" applyAlignment="0" applyProtection="0"/>
    <xf numFmtId="0" fontId="81" fillId="7" borderId="0" applyNumberFormat="0" applyBorder="0" applyAlignment="0" applyProtection="0"/>
    <xf numFmtId="0" fontId="2" fillId="8" borderId="0" applyNumberFormat="0" applyBorder="0" applyAlignment="0" applyProtection="0"/>
    <xf numFmtId="0" fontId="104" fillId="36" borderId="0" applyNumberFormat="0" applyBorder="0" applyAlignment="0" applyProtection="0"/>
    <xf numFmtId="0" fontId="81" fillId="8" borderId="0" applyNumberFormat="0" applyBorder="0" applyAlignment="0" applyProtection="0"/>
    <xf numFmtId="0" fontId="2" fillId="9" borderId="0" applyNumberFormat="0" applyBorder="0" applyAlignment="0" applyProtection="0"/>
    <xf numFmtId="0" fontId="104" fillId="37" borderId="0" applyNumberFormat="0" applyBorder="0" applyAlignment="0" applyProtection="0"/>
    <xf numFmtId="0" fontId="81" fillId="9" borderId="0" applyNumberFormat="0" applyBorder="0" applyAlignment="0" applyProtection="0"/>
    <xf numFmtId="0" fontId="2" fillId="10" borderId="0" applyNumberFormat="0" applyBorder="0" applyAlignment="0" applyProtection="0"/>
    <xf numFmtId="0" fontId="104" fillId="38" borderId="0" applyNumberFormat="0" applyBorder="0" applyAlignment="0" applyProtection="0"/>
    <xf numFmtId="0" fontId="81" fillId="10" borderId="0" applyNumberFormat="0" applyBorder="0" applyAlignment="0" applyProtection="0"/>
    <xf numFmtId="0" fontId="2" fillId="5" borderId="0" applyNumberFormat="0" applyBorder="0" applyAlignment="0" applyProtection="0"/>
    <xf numFmtId="0" fontId="104" fillId="39" borderId="0" applyNumberFormat="0" applyBorder="0" applyAlignment="0" applyProtection="0"/>
    <xf numFmtId="0" fontId="81" fillId="5" borderId="0" applyNumberFormat="0" applyBorder="0" applyAlignment="0" applyProtection="0"/>
    <xf numFmtId="0" fontId="2" fillId="8" borderId="0" applyNumberFormat="0" applyBorder="0" applyAlignment="0" applyProtection="0"/>
    <xf numFmtId="0" fontId="104" fillId="40" borderId="0" applyNumberFormat="0" applyBorder="0" applyAlignment="0" applyProtection="0"/>
    <xf numFmtId="0" fontId="81" fillId="8" borderId="0" applyNumberFormat="0" applyBorder="0" applyAlignment="0" applyProtection="0"/>
    <xf numFmtId="0" fontId="2" fillId="11" borderId="0" applyNumberFormat="0" applyBorder="0" applyAlignment="0" applyProtection="0"/>
    <xf numFmtId="0" fontId="104" fillId="41" borderId="0" applyNumberFormat="0" applyBorder="0" applyAlignment="0" applyProtection="0"/>
    <xf numFmtId="0" fontId="81" fillId="11" borderId="0" applyNumberFormat="0" applyBorder="0" applyAlignment="0" applyProtection="0"/>
    <xf numFmtId="0" fontId="3" fillId="12" borderId="0" applyNumberFormat="0" applyBorder="0" applyAlignment="0" applyProtection="0"/>
    <xf numFmtId="0" fontId="105" fillId="42" borderId="0" applyNumberFormat="0" applyBorder="0" applyAlignment="0" applyProtection="0"/>
    <xf numFmtId="0" fontId="87" fillId="12" borderId="0" applyNumberFormat="0" applyBorder="0" applyAlignment="0" applyProtection="0"/>
    <xf numFmtId="0" fontId="3" fillId="9" borderId="0" applyNumberFormat="0" applyBorder="0" applyAlignment="0" applyProtection="0"/>
    <xf numFmtId="0" fontId="105" fillId="43" borderId="0" applyNumberFormat="0" applyBorder="0" applyAlignment="0" applyProtection="0"/>
    <xf numFmtId="0" fontId="87" fillId="9" borderId="0" applyNumberFormat="0" applyBorder="0" applyAlignment="0" applyProtection="0"/>
    <xf numFmtId="0" fontId="3" fillId="10" borderId="0" applyNumberFormat="0" applyBorder="0" applyAlignment="0" applyProtection="0"/>
    <xf numFmtId="0" fontId="105" fillId="44" borderId="0" applyNumberFormat="0" applyBorder="0" applyAlignment="0" applyProtection="0"/>
    <xf numFmtId="0" fontId="87" fillId="10" borderId="0" applyNumberFormat="0" applyBorder="0" applyAlignment="0" applyProtection="0"/>
    <xf numFmtId="0" fontId="3" fillId="13" borderId="0" applyNumberFormat="0" applyBorder="0" applyAlignment="0" applyProtection="0"/>
    <xf numFmtId="0" fontId="105" fillId="45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46" borderId="0" applyNumberFormat="0" applyBorder="0" applyAlignment="0" applyProtection="0"/>
    <xf numFmtId="0" fontId="87" fillId="14" borderId="0" applyNumberFormat="0" applyBorder="0" applyAlignment="0" applyProtection="0"/>
    <xf numFmtId="0" fontId="3" fillId="15" borderId="0" applyNumberFormat="0" applyBorder="0" applyAlignment="0" applyProtection="0"/>
    <xf numFmtId="0" fontId="105" fillId="47" borderId="0" applyNumberFormat="0" applyBorder="0" applyAlignment="0" applyProtection="0"/>
    <xf numFmtId="0" fontId="87" fillId="15" borderId="0" applyNumberFormat="0" applyBorder="0" applyAlignment="0" applyProtection="0"/>
    <xf numFmtId="0" fontId="3" fillId="16" borderId="0" applyNumberFormat="0" applyBorder="0" applyAlignment="0" applyProtection="0"/>
    <xf numFmtId="0" fontId="105" fillId="48" borderId="0" applyNumberFormat="0" applyBorder="0" applyAlignment="0" applyProtection="0"/>
    <xf numFmtId="0" fontId="87" fillId="16" borderId="0" applyNumberFormat="0" applyBorder="0" applyAlignment="0" applyProtection="0"/>
    <xf numFmtId="0" fontId="3" fillId="17" borderId="0" applyNumberFormat="0" applyBorder="0" applyAlignment="0" applyProtection="0"/>
    <xf numFmtId="0" fontId="105" fillId="49" borderId="0" applyNumberFormat="0" applyBorder="0" applyAlignment="0" applyProtection="0"/>
    <xf numFmtId="0" fontId="87" fillId="17" borderId="0" applyNumberFormat="0" applyBorder="0" applyAlignment="0" applyProtection="0"/>
    <xf numFmtId="0" fontId="3" fillId="18" borderId="0" applyNumberFormat="0" applyBorder="0" applyAlignment="0" applyProtection="0"/>
    <xf numFmtId="0" fontId="105" fillId="50" borderId="0" applyNumberFormat="0" applyBorder="0" applyAlignment="0" applyProtection="0"/>
    <xf numFmtId="0" fontId="87" fillId="18" borderId="0" applyNumberFormat="0" applyBorder="0" applyAlignment="0" applyProtection="0"/>
    <xf numFmtId="0" fontId="3" fillId="13" borderId="0" applyNumberFormat="0" applyBorder="0" applyAlignment="0" applyProtection="0"/>
    <xf numFmtId="0" fontId="105" fillId="51" borderId="0" applyNumberFormat="0" applyBorder="0" applyAlignment="0" applyProtection="0"/>
    <xf numFmtId="0" fontId="87" fillId="13" borderId="0" applyNumberFormat="0" applyBorder="0" applyAlignment="0" applyProtection="0"/>
    <xf numFmtId="0" fontId="3" fillId="14" borderId="0" applyNumberFormat="0" applyBorder="0" applyAlignment="0" applyProtection="0"/>
    <xf numFmtId="0" fontId="105" fillId="52" borderId="0" applyNumberFormat="0" applyBorder="0" applyAlignment="0" applyProtection="0"/>
    <xf numFmtId="0" fontId="87" fillId="14" borderId="0" applyNumberFormat="0" applyBorder="0" applyAlignment="0" applyProtection="0"/>
    <xf numFmtId="0" fontId="3" fillId="19" borderId="0" applyNumberFormat="0" applyBorder="0" applyAlignment="0" applyProtection="0"/>
    <xf numFmtId="0" fontId="105" fillId="53" borderId="0" applyNumberFormat="0" applyBorder="0" applyAlignment="0" applyProtection="0"/>
    <xf numFmtId="0" fontId="87" fillId="19" borderId="0" applyNumberFormat="0" applyBorder="0" applyAlignment="0" applyProtection="0"/>
    <xf numFmtId="0" fontId="4" fillId="3" borderId="0" applyNumberFormat="0" applyBorder="0" applyAlignment="0" applyProtection="0"/>
    <xf numFmtId="0" fontId="106" fillId="54" borderId="0" applyNumberFormat="0" applyBorder="0" applyAlignment="0" applyProtection="0"/>
    <xf numFmtId="0" fontId="88" fillId="3" borderId="0" applyNumberFormat="0" applyBorder="0" applyAlignment="0" applyProtection="0"/>
    <xf numFmtId="169" fontId="5" fillId="0" borderId="0" applyFill="0"/>
    <xf numFmtId="169" fontId="5" fillId="0" borderId="0">
      <alignment horizontal="center"/>
    </xf>
    <xf numFmtId="0" fontId="5" fillId="0" borderId="0" applyFill="0">
      <alignment horizontal="center"/>
    </xf>
    <xf numFmtId="169" fontId="6" fillId="0" borderId="1" applyFill="0"/>
    <xf numFmtId="0" fontId="7" fillId="0" borderId="0" applyFont="0" applyAlignment="0"/>
    <xf numFmtId="0" fontId="7" fillId="0" borderId="0" applyFont="0" applyAlignment="0"/>
    <xf numFmtId="0" fontId="8" fillId="0" borderId="0" applyFill="0">
      <alignment vertical="top"/>
    </xf>
    <xf numFmtId="0" fontId="6" fillId="0" borderId="0" applyFill="0">
      <alignment horizontal="left" vertical="top"/>
    </xf>
    <xf numFmtId="169" fontId="9" fillId="0" borderId="2" applyFill="0"/>
    <xf numFmtId="0" fontId="7" fillId="0" borderId="0" applyNumberFormat="0" applyFont="0" applyAlignment="0"/>
    <xf numFmtId="0" fontId="7" fillId="0" borderId="0" applyNumberFormat="0" applyFont="0" applyAlignment="0"/>
    <xf numFmtId="0" fontId="8" fillId="0" borderId="0" applyFill="0">
      <alignment wrapText="1"/>
    </xf>
    <xf numFmtId="0" fontId="6" fillId="0" borderId="0" applyFill="0">
      <alignment horizontal="left" vertical="top" wrapText="1"/>
    </xf>
    <xf numFmtId="169" fontId="10" fillId="0" borderId="0" applyFill="0"/>
    <xf numFmtId="0" fontId="11" fillId="0" borderId="0" applyNumberFormat="0" applyFont="0" applyAlignment="0">
      <alignment horizontal="center"/>
    </xf>
    <xf numFmtId="0" fontId="12" fillId="0" borderId="0" applyFill="0">
      <alignment vertical="top" wrapText="1"/>
    </xf>
    <xf numFmtId="0" fontId="9" fillId="0" borderId="0" applyFill="0">
      <alignment horizontal="left" vertical="top" wrapText="1"/>
    </xf>
    <xf numFmtId="169" fontId="7" fillId="0" borderId="0" applyFill="0"/>
    <xf numFmtId="169" fontId="7" fillId="0" borderId="0" applyFill="0"/>
    <xf numFmtId="0" fontId="11" fillId="0" borderId="0" applyNumberFormat="0" applyFont="0" applyAlignment="0">
      <alignment horizontal="center"/>
    </xf>
    <xf numFmtId="0" fontId="13" fillId="0" borderId="0" applyFill="0">
      <alignment vertical="center" wrapText="1"/>
    </xf>
    <xf numFmtId="0" fontId="14" fillId="0" borderId="0">
      <alignment horizontal="left" vertical="center" wrapText="1"/>
    </xf>
    <xf numFmtId="169" fontId="15" fillId="0" borderId="0" applyFill="0"/>
    <xf numFmtId="0" fontId="11" fillId="0" borderId="0" applyNumberFormat="0" applyFont="0" applyAlignment="0">
      <alignment horizontal="center"/>
    </xf>
    <xf numFmtId="0" fontId="16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69" fontId="17" fillId="0" borderId="0" applyFill="0"/>
    <xf numFmtId="0" fontId="11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69" fontId="20" fillId="0" borderId="0" applyFill="0"/>
    <xf numFmtId="0" fontId="11" fillId="0" borderId="0" applyNumberFormat="0" applyFont="0" applyAlignment="0">
      <alignment horizontal="center"/>
    </xf>
    <xf numFmtId="0" fontId="21" fillId="0" borderId="0">
      <alignment horizontal="center" wrapText="1"/>
    </xf>
    <xf numFmtId="0" fontId="17" fillId="0" borderId="0" applyFill="0">
      <alignment horizontal="center" wrapText="1"/>
    </xf>
    <xf numFmtId="0" fontId="22" fillId="20" borderId="3" applyNumberFormat="0" applyAlignment="0" applyProtection="0"/>
    <xf numFmtId="0" fontId="107" fillId="55" borderId="48" applyNumberFormat="0" applyAlignment="0" applyProtection="0"/>
    <xf numFmtId="0" fontId="89" fillId="20" borderId="3" applyNumberFormat="0" applyAlignment="0" applyProtection="0"/>
    <xf numFmtId="0" fontId="23" fillId="21" borderId="4" applyNumberFormat="0" applyAlignment="0" applyProtection="0"/>
    <xf numFmtId="0" fontId="108" fillId="56" borderId="49" applyNumberFormat="0" applyAlignment="0" applyProtection="0"/>
    <xf numFmtId="0" fontId="90" fillId="21" borderId="4" applyNumberFormat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03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5" fontId="7" fillId="0" borderId="0" applyFont="0" applyFill="0" applyBorder="0" applyAlignment="0" applyProtection="0"/>
    <xf numFmtId="178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14" fontId="7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99" fillId="0" borderId="0" applyFont="0" applyFill="0" applyBorder="0" applyAlignment="0" applyProtection="0"/>
    <xf numFmtId="0" fontId="25" fillId="4" borderId="0" applyNumberFormat="0" applyBorder="0" applyAlignment="0" applyProtection="0"/>
    <xf numFmtId="0" fontId="110" fillId="57" borderId="0" applyNumberFormat="0" applyBorder="0" applyAlignment="0" applyProtection="0"/>
    <xf numFmtId="0" fontId="92" fillId="4" borderId="0" applyNumberFormat="0" applyBorder="0" applyAlignment="0" applyProtection="0"/>
    <xf numFmtId="0" fontId="26" fillId="0" borderId="0" applyFont="0" applyFill="0" applyBorder="0" applyAlignment="0" applyProtection="0"/>
    <xf numFmtId="0" fontId="111" fillId="0" borderId="50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112" fillId="0" borderId="51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113" fillId="0" borderId="52" applyNumberFormat="0" applyFill="0" applyAlignment="0" applyProtection="0"/>
    <xf numFmtId="0" fontId="9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6"/>
    <xf numFmtId="0" fontId="29" fillId="0" borderId="0"/>
    <xf numFmtId="0" fontId="30" fillId="7" borderId="3" applyNumberFormat="0" applyAlignment="0" applyProtection="0"/>
    <xf numFmtId="0" fontId="114" fillId="58" borderId="48" applyNumberFormat="0" applyAlignment="0" applyProtection="0"/>
    <xf numFmtId="0" fontId="94" fillId="7" borderId="3" applyNumberFormat="0" applyAlignment="0" applyProtection="0"/>
    <xf numFmtId="0" fontId="31" fillId="0" borderId="7" applyNumberFormat="0" applyFill="0" applyAlignment="0" applyProtection="0"/>
    <xf numFmtId="0" fontId="115" fillId="0" borderId="53" applyNumberFormat="0" applyFill="0" applyAlignment="0" applyProtection="0"/>
    <xf numFmtId="0" fontId="95" fillId="0" borderId="7" applyNumberFormat="0" applyFill="0" applyAlignment="0" applyProtection="0"/>
    <xf numFmtId="179" fontId="80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0" fontId="32" fillId="22" borderId="0" applyNumberFormat="0" applyBorder="0" applyAlignment="0" applyProtection="0"/>
    <xf numFmtId="0" fontId="116" fillId="59" borderId="0" applyNumberFormat="0" applyBorder="0" applyAlignment="0" applyProtection="0"/>
    <xf numFmtId="0" fontId="96" fillId="22" borderId="0" applyNumberFormat="0" applyBorder="0" applyAlignment="0" applyProtection="0"/>
    <xf numFmtId="0" fontId="104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3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0" fillId="0" borderId="0"/>
    <xf numFmtId="0" fontId="7" fillId="0" borderId="0"/>
    <xf numFmtId="0" fontId="80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3" fillId="0" borderId="0"/>
    <xf numFmtId="0" fontId="103" fillId="0" borderId="0"/>
    <xf numFmtId="0" fontId="103" fillId="0" borderId="0"/>
    <xf numFmtId="0" fontId="7" fillId="0" borderId="0"/>
    <xf numFmtId="3" fontId="7" fillId="0" borderId="0"/>
    <xf numFmtId="0" fontId="7" fillId="0" borderId="0"/>
    <xf numFmtId="0" fontId="35" fillId="0" borderId="0"/>
    <xf numFmtId="0" fontId="7" fillId="0" borderId="0"/>
    <xf numFmtId="0" fontId="35" fillId="0" borderId="0"/>
    <xf numFmtId="0" fontId="104" fillId="0" borderId="0"/>
    <xf numFmtId="0" fontId="35" fillId="0" borderId="0"/>
    <xf numFmtId="0" fontId="104" fillId="0" borderId="0"/>
    <xf numFmtId="0" fontId="7" fillId="0" borderId="0"/>
    <xf numFmtId="0" fontId="7" fillId="0" borderId="0"/>
    <xf numFmtId="0" fontId="104" fillId="0" borderId="0"/>
    <xf numFmtId="0" fontId="35" fillId="0" borderId="0"/>
    <xf numFmtId="0" fontId="104" fillId="0" borderId="0"/>
    <xf numFmtId="0" fontId="35" fillId="0" borderId="0"/>
    <xf numFmtId="169" fontId="33" fillId="0" borderId="0" applyProtection="0"/>
    <xf numFmtId="0" fontId="33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7" fillId="23" borderId="8" applyNumberFormat="0" applyFont="0" applyAlignment="0" applyProtection="0"/>
    <xf numFmtId="0" fontId="81" fillId="60" borderId="54" applyNumberFormat="0" applyFont="0" applyAlignment="0" applyProtection="0"/>
    <xf numFmtId="0" fontId="34" fillId="20" borderId="9" applyNumberFormat="0" applyAlignment="0" applyProtection="0"/>
    <xf numFmtId="0" fontId="117" fillId="55" borderId="55" applyNumberFormat="0" applyAlignment="0" applyProtection="0"/>
    <xf numFmtId="0" fontId="97" fillId="20" borderId="9" applyNumberFormat="0" applyAlignment="0" applyProtection="0"/>
    <xf numFmtId="9" fontId="1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3" fontId="7" fillId="0" borderId="0">
      <alignment horizontal="left" vertical="top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0" fontId="36" fillId="0" borderId="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0" fontId="35" fillId="24" borderId="0" applyNumberFormat="0" applyFont="0" applyBorder="0" applyAlignment="0" applyProtection="0"/>
    <xf numFmtId="3" fontId="7" fillId="0" borderId="0">
      <alignment horizontal="right" vertical="top"/>
    </xf>
    <xf numFmtId="3" fontId="7" fillId="0" borderId="0">
      <alignment horizontal="right" vertical="top"/>
    </xf>
    <xf numFmtId="41" fontId="14" fillId="25" borderId="10" applyFill="0"/>
    <xf numFmtId="0" fontId="37" fillId="0" borderId="0">
      <alignment horizontal="left" indent="7"/>
    </xf>
    <xf numFmtId="41" fontId="14" fillId="0" borderId="10" applyFill="0">
      <alignment horizontal="left" indent="2"/>
    </xf>
    <xf numFmtId="169" fontId="38" fillId="0" borderId="11" applyFill="0">
      <alignment horizontal="right"/>
    </xf>
    <xf numFmtId="0" fontId="39" fillId="0" borderId="12" applyNumberFormat="0" applyFont="0" applyBorder="0">
      <alignment horizontal="right"/>
    </xf>
    <xf numFmtId="0" fontId="40" fillId="0" borderId="0" applyFill="0"/>
    <xf numFmtId="0" fontId="9" fillId="0" borderId="0" applyFill="0"/>
    <xf numFmtId="4" fontId="38" fillId="0" borderId="11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2" fillId="0" borderId="0" applyFill="0">
      <alignment horizontal="left" indent="1"/>
    </xf>
    <xf numFmtId="0" fontId="41" fillId="0" borderId="0" applyFill="0">
      <alignment horizontal="left" indent="1"/>
    </xf>
    <xf numFmtId="4" fontId="15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12" fillId="0" borderId="0" applyFill="0">
      <alignment horizontal="left" indent="2"/>
    </xf>
    <xf numFmtId="0" fontId="9" fillId="0" borderId="0" applyFill="0">
      <alignment horizontal="left" indent="2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42" fillId="0" borderId="0">
      <alignment horizontal="left" indent="3"/>
    </xf>
    <xf numFmtId="0" fontId="43" fillId="0" borderId="0" applyFill="0">
      <alignment horizontal="left" indent="3"/>
    </xf>
    <xf numFmtId="4" fontId="15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6" fillId="0" borderId="0">
      <alignment horizontal="left" indent="4"/>
    </xf>
    <xf numFmtId="0" fontId="7" fillId="0" borderId="0" applyFill="0">
      <alignment horizontal="left" indent="4"/>
    </xf>
    <xf numFmtId="0" fontId="7" fillId="0" borderId="0" applyFill="0">
      <alignment horizontal="left" indent="4"/>
    </xf>
    <xf numFmtId="4" fontId="17" fillId="0" borderId="0" applyFill="0"/>
    <xf numFmtId="0" fontId="7" fillId="0" borderId="0" applyNumberFormat="0" applyFont="0" applyBorder="0" applyAlignment="0"/>
    <xf numFmtId="0" fontId="7" fillId="0" borderId="0" applyNumberFormat="0" applyFont="0" applyBorder="0" applyAlignment="0"/>
    <xf numFmtId="0" fontId="18" fillId="0" borderId="0">
      <alignment horizontal="left" indent="5"/>
    </xf>
    <xf numFmtId="0" fontId="19" fillId="0" borderId="0" applyFill="0">
      <alignment horizontal="left" indent="5"/>
    </xf>
    <xf numFmtId="4" fontId="20" fillId="0" borderId="0" applyFill="0"/>
    <xf numFmtId="0" fontId="7" fillId="0" borderId="0" applyNumberFormat="0" applyFont="0" applyFill="0" applyBorder="0" applyAlignment="0"/>
    <xf numFmtId="0" fontId="7" fillId="0" borderId="0" applyNumberFormat="0" applyFont="0" applyFill="0" applyBorder="0" applyAlignment="0"/>
    <xf numFmtId="0" fontId="21" fillId="0" borderId="0" applyFill="0">
      <alignment horizontal="left" indent="6"/>
    </xf>
    <xf numFmtId="0" fontId="17" fillId="0" borderId="0" applyFill="0">
      <alignment horizontal="left" indent="6"/>
    </xf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Font="0" applyFill="0" applyBorder="0" applyAlignment="0" applyProtection="0"/>
    <xf numFmtId="0" fontId="119" fillId="0" borderId="56" applyNumberForma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99" fillId="0" borderId="1" applyNumberFormat="0" applyFont="0" applyFill="0" applyAlignment="0" applyProtection="0"/>
    <xf numFmtId="0" fontId="4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65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170" fontId="7" fillId="0" borderId="0" xfId="117" applyNumberFormat="1" applyFont="1"/>
    <xf numFmtId="0" fontId="7" fillId="0" borderId="0" xfId="0" applyFont="1" applyBorder="1"/>
    <xf numFmtId="0" fontId="47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/>
    <xf numFmtId="10" fontId="7" fillId="0" borderId="0" xfId="0" applyNumberFormat="1" applyFont="1" applyBorder="1"/>
    <xf numFmtId="0" fontId="7" fillId="0" borderId="0" xfId="0" applyFont="1" applyFill="1" applyBorder="1" applyAlignment="1"/>
    <xf numFmtId="0" fontId="14" fillId="0" borderId="0" xfId="549" applyNumberFormat="1" applyFont="1" applyFill="1" applyBorder="1" applyAlignment="1" applyProtection="1">
      <protection locked="0"/>
    </xf>
    <xf numFmtId="0" fontId="6" fillId="0" borderId="0" xfId="0" applyFont="1" applyFill="1"/>
    <xf numFmtId="10" fontId="7" fillId="0" borderId="0" xfId="0" applyNumberFormat="1" applyFont="1"/>
    <xf numFmtId="0" fontId="7" fillId="0" borderId="0" xfId="0" applyFont="1" applyFill="1" applyBorder="1" applyAlignment="1">
      <alignment wrapText="1"/>
    </xf>
    <xf numFmtId="0" fontId="0" fillId="0" borderId="0" xfId="0" applyFill="1"/>
    <xf numFmtId="170" fontId="7" fillId="0" borderId="0" xfId="0" applyNumberFormat="1" applyFont="1"/>
    <xf numFmtId="0" fontId="46" fillId="0" borderId="0" xfId="0" applyFont="1" applyAlignment="1">
      <alignment horizontal="right"/>
    </xf>
    <xf numFmtId="170" fontId="7" fillId="0" borderId="0" xfId="117" applyNumberFormat="1" applyFont="1" applyBorder="1"/>
    <xf numFmtId="0" fontId="39" fillId="0" borderId="0" xfId="0" applyFont="1" applyAlignment="1">
      <alignment horizontal="left"/>
    </xf>
    <xf numFmtId="0" fontId="51" fillId="27" borderId="0" xfId="117" applyNumberFormat="1" applyFont="1" applyFill="1" applyAlignment="1">
      <alignment horizontal="left"/>
    </xf>
    <xf numFmtId="0" fontId="39" fillId="0" borderId="17" xfId="0" applyFont="1" applyBorder="1"/>
    <xf numFmtId="0" fontId="39" fillId="0" borderId="18" xfId="0" applyFont="1" applyBorder="1"/>
    <xf numFmtId="0" fontId="7" fillId="0" borderId="18" xfId="0" applyFont="1" applyBorder="1"/>
    <xf numFmtId="170" fontId="39" fillId="0" borderId="19" xfId="117" applyNumberFormat="1" applyFont="1" applyBorder="1"/>
    <xf numFmtId="0" fontId="14" fillId="0" borderId="0" xfId="117" applyNumberFormat="1" applyFont="1" applyFill="1" applyAlignment="1">
      <alignment horizontal="left"/>
    </xf>
    <xf numFmtId="0" fontId="14" fillId="0" borderId="0" xfId="117" applyNumberFormat="1" applyFont="1" applyFill="1" applyBorder="1" applyAlignment="1">
      <alignment horizontal="left"/>
    </xf>
    <xf numFmtId="0" fontId="39" fillId="0" borderId="13" xfId="0" applyFont="1" applyBorder="1"/>
    <xf numFmtId="0" fontId="9" fillId="0" borderId="0" xfId="117" applyNumberFormat="1" applyFont="1" applyFill="1" applyBorder="1" applyAlignment="1">
      <alignment horizontal="left"/>
    </xf>
    <xf numFmtId="170" fontId="39" fillId="0" borderId="20" xfId="117" applyNumberFormat="1" applyFont="1" applyBorder="1"/>
    <xf numFmtId="0" fontId="39" fillId="0" borderId="0" xfId="0" applyFont="1" applyFill="1"/>
    <xf numFmtId="170" fontId="39" fillId="0" borderId="15" xfId="117" applyNumberFormat="1" applyFont="1" applyBorder="1"/>
    <xf numFmtId="170" fontId="7" fillId="0" borderId="6" xfId="117" applyNumberFormat="1" applyFont="1" applyBorder="1"/>
    <xf numFmtId="170" fontId="7" fillId="0" borderId="16" xfId="117" applyNumberFormat="1" applyFont="1" applyBorder="1"/>
    <xf numFmtId="0" fontId="53" fillId="0" borderId="0" xfId="0" applyFont="1" applyFill="1" applyAlignment="1"/>
    <xf numFmtId="0" fontId="7" fillId="0" borderId="0" xfId="0" applyFont="1" applyFill="1" applyAlignment="1">
      <alignment wrapText="1"/>
    </xf>
    <xf numFmtId="0" fontId="39" fillId="0" borderId="21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0" fillId="0" borderId="0" xfId="0" applyBorder="1" applyAlignment="1"/>
    <xf numFmtId="170" fontId="54" fillId="27" borderId="14" xfId="117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0" fontId="7" fillId="0" borderId="13" xfId="0" applyFont="1" applyFill="1" applyBorder="1"/>
    <xf numFmtId="0" fontId="54" fillId="27" borderId="14" xfId="0" applyFont="1" applyFill="1" applyBorder="1" applyAlignment="1">
      <alignment horizontal="right"/>
    </xf>
    <xf numFmtId="170" fontId="7" fillId="0" borderId="14" xfId="0" applyNumberFormat="1" applyFont="1" applyFill="1" applyBorder="1" applyAlignment="1">
      <alignment horizontal="right"/>
    </xf>
    <xf numFmtId="170" fontId="7" fillId="0" borderId="0" xfId="0" applyNumberFormat="1" applyFont="1" applyFill="1" applyBorder="1" applyAlignment="1">
      <alignment horizontal="right"/>
    </xf>
    <xf numFmtId="10" fontId="7" fillId="0" borderId="14" xfId="0" applyNumberFormat="1" applyFont="1" applyBorder="1"/>
    <xf numFmtId="10" fontId="7" fillId="0" borderId="0" xfId="0" applyNumberFormat="1" applyFont="1" applyFill="1" applyBorder="1"/>
    <xf numFmtId="170" fontId="7" fillId="0" borderId="14" xfId="117" applyNumberFormat="1" applyFont="1" applyBorder="1"/>
    <xf numFmtId="0" fontId="39" fillId="0" borderId="24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170" fontId="39" fillId="0" borderId="24" xfId="117" applyNumberFormat="1" applyFont="1" applyBorder="1" applyAlignment="1">
      <alignment horizontal="center" wrapText="1"/>
    </xf>
    <xf numFmtId="0" fontId="39" fillId="0" borderId="26" xfId="0" applyFont="1" applyBorder="1" applyAlignment="1">
      <alignment horizontal="center"/>
    </xf>
    <xf numFmtId="170" fontId="39" fillId="0" borderId="16" xfId="117" applyNumberFormat="1" applyFont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25" xfId="0" applyFont="1" applyFill="1" applyBorder="1" applyAlignment="1">
      <alignment horizontal="center"/>
    </xf>
    <xf numFmtId="170" fontId="39" fillId="0" borderId="26" xfId="117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170" fontId="7" fillId="0" borderId="0" xfId="0" applyNumberFormat="1" applyFont="1" applyBorder="1"/>
    <xf numFmtId="170" fontId="7" fillId="0" borderId="24" xfId="117" applyNumberFormat="1" applyFont="1" applyBorder="1"/>
    <xf numFmtId="171" fontId="7" fillId="0" borderId="14" xfId="0" applyNumberFormat="1" applyFont="1" applyBorder="1"/>
    <xf numFmtId="171" fontId="7" fillId="0" borderId="24" xfId="0" applyNumberFormat="1" applyFont="1" applyBorder="1"/>
    <xf numFmtId="171" fontId="7" fillId="0" borderId="25" xfId="0" applyNumberFormat="1" applyFont="1" applyBorder="1"/>
    <xf numFmtId="170" fontId="7" fillId="0" borderId="25" xfId="0" applyNumberFormat="1" applyFont="1" applyBorder="1"/>
    <xf numFmtId="170" fontId="1" fillId="0" borderId="25" xfId="117" applyNumberFormat="1" applyBorder="1"/>
    <xf numFmtId="170" fontId="7" fillId="0" borderId="25" xfId="117" applyNumberFormat="1" applyFont="1" applyBorder="1"/>
    <xf numFmtId="170" fontId="7" fillId="0" borderId="25" xfId="0" applyNumberFormat="1" applyFont="1" applyFill="1" applyBorder="1"/>
    <xf numFmtId="0" fontId="7" fillId="0" borderId="26" xfId="0" applyNumberFormat="1" applyFont="1" applyBorder="1" applyAlignment="1">
      <alignment horizontal="center"/>
    </xf>
    <xf numFmtId="170" fontId="7" fillId="0" borderId="26" xfId="0" applyNumberFormat="1" applyFont="1" applyBorder="1"/>
    <xf numFmtId="170" fontId="1" fillId="0" borderId="26" xfId="117" applyNumberFormat="1" applyBorder="1"/>
    <xf numFmtId="171" fontId="7" fillId="0" borderId="16" xfId="0" applyNumberFormat="1" applyFont="1" applyBorder="1"/>
    <xf numFmtId="171" fontId="7" fillId="0" borderId="26" xfId="0" applyNumberFormat="1" applyFont="1" applyBorder="1"/>
    <xf numFmtId="0" fontId="53" fillId="0" borderId="0" xfId="0" applyFont="1" applyFill="1"/>
    <xf numFmtId="171" fontId="7" fillId="0" borderId="0" xfId="0" applyNumberFormat="1" applyFont="1" applyBorder="1"/>
    <xf numFmtId="170" fontId="55" fillId="0" borderId="0" xfId="0" applyNumberFormat="1" applyFont="1" applyAlignment="1">
      <alignment horizontal="left"/>
    </xf>
    <xf numFmtId="0" fontId="9" fillId="0" borderId="0" xfId="0" applyFont="1" applyFill="1"/>
    <xf numFmtId="170" fontId="39" fillId="0" borderId="0" xfId="117" applyNumberFormat="1" applyFont="1" applyBorder="1"/>
    <xf numFmtId="170" fontId="7" fillId="0" borderId="14" xfId="0" applyNumberFormat="1" applyFont="1" applyBorder="1"/>
    <xf numFmtId="170" fontId="39" fillId="0" borderId="11" xfId="117" applyNumberFormat="1" applyFont="1" applyBorder="1"/>
    <xf numFmtId="170" fontId="7" fillId="0" borderId="20" xfId="0" applyNumberFormat="1" applyFont="1" applyBorder="1"/>
    <xf numFmtId="0" fontId="7" fillId="0" borderId="15" xfId="0" applyFont="1" applyBorder="1"/>
    <xf numFmtId="170" fontId="39" fillId="0" borderId="6" xfId="117" applyNumberFormat="1" applyFont="1" applyFill="1" applyBorder="1" applyAlignment="1">
      <alignment horizontal="left"/>
    </xf>
    <xf numFmtId="170" fontId="39" fillId="0" borderId="16" xfId="117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0" xfId="0" applyFill="1" applyBorder="1" applyAlignment="1"/>
    <xf numFmtId="0" fontId="7" fillId="0" borderId="6" xfId="0" applyFont="1" applyBorder="1" applyAlignment="1">
      <alignment horizontal="center"/>
    </xf>
    <xf numFmtId="0" fontId="0" fillId="0" borderId="6" xfId="0" applyBorder="1"/>
    <xf numFmtId="0" fontId="39" fillId="0" borderId="24" xfId="0" applyFont="1" applyBorder="1" applyAlignment="1">
      <alignment horizontal="center" wrapText="1"/>
    </xf>
    <xf numFmtId="170" fontId="39" fillId="0" borderId="0" xfId="117" applyNumberFormat="1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6" xfId="0" applyFont="1" applyBorder="1" applyAlignment="1">
      <alignment horizontal="center"/>
    </xf>
    <xf numFmtId="170" fontId="7" fillId="0" borderId="24" xfId="0" applyNumberFormat="1" applyFont="1" applyBorder="1"/>
    <xf numFmtId="170" fontId="7" fillId="0" borderId="6" xfId="0" applyNumberFormat="1" applyFont="1" applyBorder="1"/>
    <xf numFmtId="0" fontId="55" fillId="0" borderId="0" xfId="0" applyFont="1"/>
    <xf numFmtId="0" fontId="58" fillId="0" borderId="0" xfId="0" applyFont="1" applyFill="1"/>
    <xf numFmtId="170" fontId="7" fillId="0" borderId="14" xfId="11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52" fillId="27" borderId="0" xfId="0" applyFont="1" applyFill="1" applyAlignment="1">
      <alignment horizontal="left"/>
    </xf>
    <xf numFmtId="0" fontId="39" fillId="0" borderId="22" xfId="0" applyFont="1" applyFill="1" applyBorder="1" applyAlignment="1"/>
    <xf numFmtId="0" fontId="61" fillId="28" borderId="22" xfId="0" applyFont="1" applyFill="1" applyBorder="1" applyAlignment="1">
      <alignment horizontal="center"/>
    </xf>
    <xf numFmtId="0" fontId="39" fillId="0" borderId="0" xfId="0" quotePrefix="1" applyFont="1" applyAlignment="1">
      <alignment horizontal="left"/>
    </xf>
    <xf numFmtId="0" fontId="68" fillId="0" borderId="0" xfId="0" applyFont="1"/>
    <xf numFmtId="0" fontId="7" fillId="0" borderId="0" xfId="0" applyFont="1" applyAlignment="1">
      <alignment horizontal="left"/>
    </xf>
    <xf numFmtId="0" fontId="50" fillId="0" borderId="0" xfId="0" quotePrefix="1" applyFont="1" applyAlignment="1">
      <alignment horizontal="left"/>
    </xf>
    <xf numFmtId="0" fontId="46" fillId="0" borderId="0" xfId="0" quotePrefix="1" applyFont="1" applyAlignment="1">
      <alignment horizontal="center"/>
    </xf>
    <xf numFmtId="171" fontId="46" fillId="0" borderId="0" xfId="0" quotePrefix="1" applyNumberFormat="1" applyFont="1" applyBorder="1" applyAlignment="1">
      <alignment horizontal="center"/>
    </xf>
    <xf numFmtId="0" fontId="52" fillId="0" borderId="0" xfId="0" applyFont="1" applyAlignment="1">
      <alignment horizontal="left"/>
    </xf>
    <xf numFmtId="0" fontId="55" fillId="0" borderId="0" xfId="0" applyFont="1" applyFill="1" applyAlignment="1"/>
    <xf numFmtId="0" fontId="55" fillId="0" borderId="0" xfId="0" quotePrefix="1" applyFont="1" applyAlignment="1">
      <alignment horizontal="left"/>
    </xf>
    <xf numFmtId="0" fontId="67" fillId="0" borderId="0" xfId="0" applyFont="1" applyFill="1" applyAlignment="1">
      <alignment horizontal="right"/>
    </xf>
    <xf numFmtId="0" fontId="46" fillId="0" borderId="0" xfId="0" quotePrefix="1" applyFont="1" applyAlignment="1">
      <alignment horizontal="right"/>
    </xf>
    <xf numFmtId="0" fontId="39" fillId="0" borderId="28" xfId="0" applyFont="1" applyFill="1" applyBorder="1" applyAlignment="1">
      <alignment horizontal="center"/>
    </xf>
    <xf numFmtId="169" fontId="7" fillId="0" borderId="29" xfId="549" applyFont="1" applyBorder="1" applyAlignment="1" applyProtection="1">
      <alignment horizontal="center"/>
      <protection locked="0"/>
    </xf>
    <xf numFmtId="169" fontId="7" fillId="0" borderId="29" xfId="549" quotePrefix="1" applyFont="1" applyBorder="1" applyAlignment="1" applyProtection="1">
      <alignment horizontal="center"/>
      <protection locked="0"/>
    </xf>
    <xf numFmtId="3" fontId="7" fillId="0" borderId="30" xfId="549" applyNumberFormat="1" applyFont="1" applyBorder="1" applyAlignment="1" applyProtection="1">
      <alignment horizontal="center"/>
      <protection locked="0"/>
    </xf>
    <xf numFmtId="0" fontId="55" fillId="0" borderId="24" xfId="0" applyFont="1" applyBorder="1"/>
    <xf numFmtId="170" fontId="7" fillId="0" borderId="13" xfId="117" quotePrefix="1" applyNumberFormat="1" applyFont="1" applyBorder="1" applyAlignment="1">
      <alignment horizontal="right"/>
    </xf>
    <xf numFmtId="0" fontId="57" fillId="0" borderId="31" xfId="117" applyNumberFormat="1" applyFont="1" applyFill="1" applyBorder="1" applyAlignment="1">
      <alignment horizontal="left"/>
    </xf>
    <xf numFmtId="170" fontId="7" fillId="0" borderId="32" xfId="117" quotePrefix="1" applyNumberFormat="1" applyFont="1" applyBorder="1" applyAlignment="1">
      <alignment horizontal="right"/>
    </xf>
    <xf numFmtId="170" fontId="55" fillId="0" borderId="26" xfId="117" applyNumberFormat="1" applyFont="1" applyBorder="1"/>
    <xf numFmtId="0" fontId="7" fillId="0" borderId="15" xfId="0" quotePrefix="1" applyFont="1" applyBorder="1" applyAlignment="1">
      <alignment horizontal="right"/>
    </xf>
    <xf numFmtId="170" fontId="39" fillId="27" borderId="26" xfId="117" applyNumberFormat="1" applyFont="1" applyFill="1" applyBorder="1" applyAlignment="1">
      <alignment horizontal="center"/>
    </xf>
    <xf numFmtId="170" fontId="39" fillId="27" borderId="16" xfId="117" applyNumberFormat="1" applyFont="1" applyFill="1" applyBorder="1" applyAlignment="1">
      <alignment horizontal="center"/>
    </xf>
    <xf numFmtId="170" fontId="54" fillId="0" borderId="25" xfId="117" applyNumberFormat="1" applyFont="1" applyFill="1" applyBorder="1"/>
    <xf numFmtId="171" fontId="54" fillId="27" borderId="24" xfId="0" applyNumberFormat="1" applyFont="1" applyFill="1" applyBorder="1"/>
    <xf numFmtId="171" fontId="54" fillId="27" borderId="25" xfId="0" applyNumberFormat="1" applyFont="1" applyFill="1" applyBorder="1"/>
    <xf numFmtId="171" fontId="54" fillId="27" borderId="26" xfId="0" applyNumberFormat="1" applyFont="1" applyFill="1" applyBorder="1"/>
    <xf numFmtId="171" fontId="54" fillId="0" borderId="24" xfId="0" applyNumberFormat="1" applyFont="1" applyFill="1" applyBorder="1"/>
    <xf numFmtId="170" fontId="39" fillId="0" borderId="24" xfId="117" quotePrefix="1" applyNumberFormat="1" applyFont="1" applyBorder="1" applyAlignment="1">
      <alignment horizontal="center" wrapText="1"/>
    </xf>
    <xf numFmtId="170" fontId="39" fillId="0" borderId="24" xfId="117" applyNumberFormat="1" applyFont="1" applyFill="1" applyBorder="1" applyAlignment="1">
      <alignment horizontal="center" wrapText="1"/>
    </xf>
    <xf numFmtId="170" fontId="39" fillId="0" borderId="26" xfId="117" applyNumberFormat="1" applyFont="1" applyFill="1" applyBorder="1" applyAlignment="1">
      <alignment horizontal="center"/>
    </xf>
    <xf numFmtId="170" fontId="39" fillId="0" borderId="15" xfId="117" applyNumberFormat="1" applyFont="1" applyFill="1" applyBorder="1" applyAlignment="1">
      <alignment horizontal="center"/>
    </xf>
    <xf numFmtId="170" fontId="54" fillId="0" borderId="14" xfId="117" applyNumberFormat="1" applyFont="1" applyFill="1" applyBorder="1"/>
    <xf numFmtId="170" fontId="54" fillId="0" borderId="26" xfId="117" applyNumberFormat="1" applyFont="1" applyFill="1" applyBorder="1"/>
    <xf numFmtId="170" fontId="54" fillId="0" borderId="16" xfId="117" applyNumberFormat="1" applyFont="1" applyFill="1" applyBorder="1"/>
    <xf numFmtId="170" fontId="39" fillId="27" borderId="19" xfId="117" quotePrefix="1" applyNumberFormat="1" applyFont="1" applyFill="1" applyBorder="1" applyAlignment="1">
      <alignment horizontal="center" wrapText="1"/>
    </xf>
    <xf numFmtId="170" fontId="39" fillId="0" borderId="19" xfId="117" quotePrefix="1" applyNumberFormat="1" applyFont="1" applyBorder="1" applyAlignment="1">
      <alignment horizontal="center" wrapText="1"/>
    </xf>
    <xf numFmtId="170" fontId="39" fillId="27" borderId="24" xfId="117" quotePrefix="1" applyNumberFormat="1" applyFont="1" applyFill="1" applyBorder="1" applyAlignment="1">
      <alignment horizontal="center" wrapText="1"/>
    </xf>
    <xf numFmtId="0" fontId="7" fillId="0" borderId="13" xfId="0" quotePrefix="1" applyFont="1" applyFill="1" applyBorder="1" applyAlignment="1">
      <alignment horizontal="left"/>
    </xf>
    <xf numFmtId="170" fontId="7" fillId="0" borderId="26" xfId="117" applyNumberFormat="1" applyFont="1" applyBorder="1"/>
    <xf numFmtId="170" fontId="7" fillId="0" borderId="26" xfId="0" applyNumberFormat="1" applyFont="1" applyFill="1" applyBorder="1"/>
    <xf numFmtId="0" fontId="0" fillId="0" borderId="0" xfId="0" applyProtection="1"/>
    <xf numFmtId="0" fontId="14" fillId="0" borderId="0" xfId="0" applyNumberFormat="1" applyFont="1" applyAlignment="1" applyProtection="1">
      <alignment horizontal="center"/>
    </xf>
    <xf numFmtId="3" fontId="14" fillId="0" borderId="0" xfId="0" quotePrefix="1" applyNumberFormat="1" applyFont="1" applyFill="1" applyAlignment="1" applyProtection="1">
      <alignment horizontal="center"/>
    </xf>
    <xf numFmtId="0" fontId="14" fillId="0" borderId="0" xfId="0" applyNumberFormat="1" applyFont="1" applyFill="1" applyAlignment="1" applyProtection="1">
      <alignment horizontal="center"/>
    </xf>
    <xf numFmtId="169" fontId="14" fillId="0" borderId="0" xfId="549" applyFont="1" applyFill="1" applyAlignment="1" applyProtection="1"/>
    <xf numFmtId="49" fontId="71" fillId="0" borderId="0" xfId="549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/>
    </xf>
    <xf numFmtId="0" fontId="39" fillId="0" borderId="11" xfId="0" applyFont="1" applyBorder="1" applyAlignment="1" applyProtection="1">
      <alignment horizontal="centerContinuous"/>
    </xf>
    <xf numFmtId="0" fontId="39" fillId="0" borderId="11" xfId="0" applyFont="1" applyBorder="1" applyAlignment="1" applyProtection="1">
      <alignment horizontal="left"/>
    </xf>
    <xf numFmtId="0" fontId="53" fillId="0" borderId="0" xfId="0" quotePrefix="1" applyFont="1" applyAlignment="1" applyProtection="1">
      <alignment horizontal="left"/>
    </xf>
    <xf numFmtId="0" fontId="39" fillId="0" borderId="0" xfId="0" applyFont="1" applyBorder="1" applyAlignment="1" applyProtection="1">
      <alignment horizontal="center"/>
    </xf>
    <xf numFmtId="0" fontId="65" fillId="0" borderId="11" xfId="0" quotePrefix="1" applyFont="1" applyBorder="1" applyAlignment="1" applyProtection="1">
      <alignment horizontal="centerContinuous"/>
    </xf>
    <xf numFmtId="0" fontId="65" fillId="0" borderId="0" xfId="0" quotePrefix="1" applyFont="1" applyBorder="1" applyAlignment="1" applyProtection="1">
      <alignment horizontal="centerContinuous"/>
    </xf>
    <xf numFmtId="0" fontId="65" fillId="0" borderId="11" xfId="0" applyFont="1" applyBorder="1" applyAlignment="1" applyProtection="1">
      <alignment horizontal="centerContinuous"/>
    </xf>
    <xf numFmtId="0" fontId="72" fillId="0" borderId="0" xfId="0" applyFont="1" applyFill="1" applyProtection="1"/>
    <xf numFmtId="0" fontId="65" fillId="0" borderId="0" xfId="0" applyFont="1" applyAlignment="1" applyProtection="1">
      <alignment horizontal="center" wrapText="1"/>
    </xf>
    <xf numFmtId="0" fontId="65" fillId="0" borderId="0" xfId="0" applyFont="1" applyAlignment="1" applyProtection="1">
      <alignment horizontal="center"/>
    </xf>
    <xf numFmtId="0" fontId="65" fillId="0" borderId="0" xfId="0" applyFont="1" applyBorder="1" applyAlignment="1" applyProtection="1">
      <alignment horizontal="center" wrapText="1"/>
    </xf>
    <xf numFmtId="0" fontId="65" fillId="0" borderId="0" xfId="0" quotePrefix="1" applyFont="1" applyBorder="1" applyAlignment="1" applyProtection="1">
      <alignment horizontal="center" wrapText="1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 wrapText="1"/>
    </xf>
    <xf numFmtId="0" fontId="65" fillId="0" borderId="0" xfId="0" applyFont="1" applyFill="1" applyBorder="1" applyAlignment="1" applyProtection="1">
      <alignment horizontal="center"/>
    </xf>
    <xf numFmtId="0" fontId="0" fillId="0" borderId="38" xfId="0" applyBorder="1" applyAlignment="1" applyProtection="1">
      <alignment wrapText="1"/>
    </xf>
    <xf numFmtId="0" fontId="39" fillId="0" borderId="0" xfId="0" applyFont="1" applyProtection="1"/>
    <xf numFmtId="0" fontId="0" fillId="0" borderId="25" xfId="0" applyBorder="1" applyProtection="1"/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170" fontId="1" fillId="0" borderId="0" xfId="117" applyNumberFormat="1" applyFont="1" applyFill="1" applyAlignment="1" applyProtection="1">
      <alignment vertical="center"/>
    </xf>
    <xf numFmtId="170" fontId="1" fillId="0" borderId="0" xfId="117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70" fontId="7" fillId="0" borderId="0" xfId="121" applyNumberFormat="1" applyFont="1" applyFill="1" applyAlignment="1" applyProtection="1">
      <alignment vertical="center"/>
    </xf>
    <xf numFmtId="170" fontId="64" fillId="27" borderId="0" xfId="117" applyNumberFormat="1" applyFont="1" applyFill="1" applyAlignment="1" applyProtection="1">
      <alignment vertical="center"/>
    </xf>
    <xf numFmtId="170" fontId="1" fillId="0" borderId="0" xfId="117" applyNumberFormat="1" applyAlignment="1" applyProtection="1">
      <alignment vertical="center"/>
    </xf>
    <xf numFmtId="170" fontId="39" fillId="0" borderId="0" xfId="117" applyNumberFormat="1" applyFont="1" applyAlignment="1" applyProtection="1">
      <alignment horizontal="center" vertical="center"/>
    </xf>
    <xf numFmtId="170" fontId="0" fillId="0" borderId="25" xfId="0" applyNumberFormat="1" applyBorder="1" applyAlignment="1" applyProtection="1">
      <alignment vertical="center"/>
    </xf>
    <xf numFmtId="170" fontId="39" fillId="0" borderId="0" xfId="117" applyNumberFormat="1" applyFont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170" fontId="1" fillId="0" borderId="0" xfId="117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7" fillId="0" borderId="0" xfId="0" quotePrefix="1" applyFont="1" applyAlignment="1" applyProtection="1">
      <alignment horizontal="center" vertical="center"/>
    </xf>
    <xf numFmtId="0" fontId="0" fillId="0" borderId="0" xfId="0" applyBorder="1" applyProtection="1"/>
    <xf numFmtId="170" fontId="1" fillId="0" borderId="0" xfId="117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0" fontId="1" fillId="0" borderId="0" xfId="117" applyNumberFormat="1" applyFont="1" applyFill="1" applyBorder="1" applyAlignment="1" applyProtection="1">
      <alignment vertical="center"/>
    </xf>
    <xf numFmtId="170" fontId="1" fillId="0" borderId="0" xfId="117" applyNumberFormat="1" applyBorder="1" applyAlignment="1" applyProtection="1">
      <alignment vertical="center"/>
    </xf>
    <xf numFmtId="170" fontId="39" fillId="0" borderId="0" xfId="117" applyNumberFormat="1" applyFont="1" applyBorder="1" applyAlignment="1" applyProtection="1">
      <alignment vertical="center"/>
    </xf>
    <xf numFmtId="170" fontId="1" fillId="0" borderId="0" xfId="117" applyNumberFormat="1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64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43" fontId="73" fillId="0" borderId="0" xfId="117" applyNumberFormat="1" applyFont="1" applyAlignment="1" applyProtection="1">
      <alignment horizontal="center" vertical="center"/>
    </xf>
    <xf numFmtId="43" fontId="53" fillId="0" borderId="0" xfId="117" applyFont="1" applyAlignment="1" applyProtection="1">
      <alignment horizontal="center" vertical="center"/>
    </xf>
    <xf numFmtId="43" fontId="75" fillId="0" borderId="0" xfId="117" applyFont="1" applyAlignment="1" applyProtection="1">
      <alignment horizontal="left" vertical="center"/>
    </xf>
    <xf numFmtId="170" fontId="75" fillId="0" borderId="0" xfId="117" applyNumberFormat="1" applyFont="1" applyAlignment="1" applyProtection="1">
      <alignment horizontal="center" vertical="center"/>
    </xf>
    <xf numFmtId="43" fontId="76" fillId="0" borderId="0" xfId="117" applyFont="1" applyAlignment="1" applyProtection="1">
      <alignment vertical="center"/>
    </xf>
    <xf numFmtId="43" fontId="1" fillId="0" borderId="0" xfId="117" applyAlignment="1" applyProtection="1">
      <alignment vertical="center"/>
    </xf>
    <xf numFmtId="170" fontId="0" fillId="0" borderId="26" xfId="0" applyNumberFormat="1" applyBorder="1" applyProtection="1"/>
    <xf numFmtId="0" fontId="0" fillId="0" borderId="0" xfId="0" quotePrefix="1" applyAlignment="1" applyProtection="1">
      <alignment horizontal="left" vertical="center"/>
    </xf>
    <xf numFmtId="13" fontId="5" fillId="0" borderId="0" xfId="0" applyNumberFormat="1" applyFont="1" applyAlignment="1" applyProtection="1">
      <alignment horizontal="center" vertical="center"/>
    </xf>
    <xf numFmtId="170" fontId="0" fillId="0" borderId="0" xfId="117" applyNumberFormat="1" applyFont="1" applyProtection="1"/>
    <xf numFmtId="170" fontId="64" fillId="27" borderId="0" xfId="0" applyNumberFormat="1" applyFont="1" applyFill="1" applyAlignment="1" applyProtection="1">
      <alignment vertical="center"/>
    </xf>
    <xf numFmtId="170" fontId="1" fillId="0" borderId="0" xfId="117" applyNumberFormat="1" applyProtection="1"/>
    <xf numFmtId="164" fontId="1" fillId="0" borderId="0" xfId="0" applyNumberFormat="1" applyFont="1" applyFill="1" applyProtection="1"/>
    <xf numFmtId="43" fontId="1" fillId="0" borderId="0" xfId="117" applyProtection="1"/>
    <xf numFmtId="177" fontId="1" fillId="0" borderId="0" xfId="117" applyNumberFormat="1" applyProtection="1"/>
    <xf numFmtId="0" fontId="0" fillId="0" borderId="33" xfId="0" applyBorder="1" applyProtection="1"/>
    <xf numFmtId="0" fontId="0" fillId="0" borderId="2" xfId="0" applyBorder="1" applyProtection="1"/>
    <xf numFmtId="170" fontId="1" fillId="0" borderId="2" xfId="117" applyNumberFormat="1" applyBorder="1" applyProtection="1"/>
    <xf numFmtId="0" fontId="0" fillId="0" borderId="27" xfId="0" applyBorder="1" applyProtection="1"/>
    <xf numFmtId="0" fontId="0" fillId="0" borderId="34" xfId="0" applyBorder="1" applyProtection="1"/>
    <xf numFmtId="0" fontId="0" fillId="0" borderId="0" xfId="0" applyBorder="1" applyAlignment="1" applyProtection="1">
      <alignment horizontal="center"/>
    </xf>
    <xf numFmtId="49" fontId="71" fillId="0" borderId="0" xfId="549" applyNumberFormat="1" applyFont="1" applyFill="1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Protection="1"/>
    <xf numFmtId="0" fontId="0" fillId="0" borderId="11" xfId="0" applyBorder="1" applyProtection="1"/>
    <xf numFmtId="170" fontId="1" fillId="0" borderId="11" xfId="117" applyNumberFormat="1" applyBorder="1" applyProtection="1"/>
    <xf numFmtId="0" fontId="0" fillId="0" borderId="37" xfId="0" applyBorder="1" applyProtection="1"/>
    <xf numFmtId="0" fontId="7" fillId="0" borderId="0" xfId="0" applyFont="1" applyProtection="1"/>
    <xf numFmtId="0" fontId="0" fillId="0" borderId="0" xfId="0" quotePrefix="1" applyAlignment="1" applyProtection="1">
      <alignment horizontal="left"/>
    </xf>
    <xf numFmtId="171" fontId="0" fillId="0" borderId="0" xfId="327" applyNumberFormat="1" applyFont="1" applyProtection="1"/>
    <xf numFmtId="0" fontId="0" fillId="0" borderId="0" xfId="0" quotePrefix="1" applyAlignment="1" applyProtection="1">
      <alignment horizontal="center"/>
    </xf>
    <xf numFmtId="170" fontId="0" fillId="0" borderId="0" xfId="0" applyNumberFormat="1" applyProtection="1"/>
    <xf numFmtId="170" fontId="0" fillId="0" borderId="0" xfId="121" applyNumberFormat="1" applyFont="1" applyProtection="1"/>
    <xf numFmtId="170" fontId="0" fillId="0" borderId="0" xfId="561" applyNumberFormat="1" applyFont="1" applyProtection="1"/>
    <xf numFmtId="0" fontId="39" fillId="0" borderId="0" xfId="0" quotePrefix="1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170" fontId="7" fillId="0" borderId="0" xfId="117" applyNumberFormat="1" applyFont="1" applyProtection="1"/>
    <xf numFmtId="0" fontId="7" fillId="0" borderId="0" xfId="0" applyFont="1" applyBorder="1" applyProtection="1"/>
    <xf numFmtId="0" fontId="47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left"/>
    </xf>
    <xf numFmtId="41" fontId="0" fillId="0" borderId="0" xfId="0" applyNumberFormat="1" applyProtection="1"/>
    <xf numFmtId="3" fontId="0" fillId="0" borderId="0" xfId="0" applyNumberFormat="1" applyProtection="1"/>
    <xf numFmtId="0" fontId="7" fillId="0" borderId="0" xfId="549" applyNumberFormat="1" applyFont="1" applyBorder="1" applyAlignment="1" applyProtection="1"/>
    <xf numFmtId="3" fontId="7" fillId="0" borderId="0" xfId="549" applyNumberFormat="1" applyFont="1" applyAlignment="1" applyProtection="1"/>
    <xf numFmtId="10" fontId="7" fillId="0" borderId="0" xfId="549" applyNumberFormat="1" applyFont="1" applyAlignment="1" applyProtection="1"/>
    <xf numFmtId="166" fontId="7" fillId="0" borderId="0" xfId="549" applyNumberFormat="1" applyFont="1" applyAlignment="1" applyProtection="1"/>
    <xf numFmtId="43" fontId="7" fillId="0" borderId="0" xfId="117" applyFont="1" applyAlignment="1" applyProtection="1"/>
    <xf numFmtId="169" fontId="7" fillId="0" borderId="0" xfId="549" applyFont="1" applyAlignment="1" applyProtection="1"/>
    <xf numFmtId="169" fontId="7" fillId="0" borderId="0" xfId="549" applyFont="1" applyBorder="1" applyAlignment="1" applyProtection="1"/>
    <xf numFmtId="0" fontId="7" fillId="28" borderId="0" xfId="117" applyNumberFormat="1" applyFont="1" applyFill="1" applyAlignment="1" applyProtection="1"/>
    <xf numFmtId="10" fontId="7" fillId="0" borderId="0" xfId="549" applyNumberFormat="1" applyFont="1" applyFill="1" applyAlignment="1" applyProtection="1">
      <alignment horizontal="right"/>
    </xf>
    <xf numFmtId="3" fontId="39" fillId="0" borderId="0" xfId="549" applyNumberFormat="1" applyFont="1" applyAlignment="1" applyProtection="1"/>
    <xf numFmtId="3" fontId="48" fillId="0" borderId="0" xfId="549" applyNumberFormat="1" applyFont="1" applyAlignment="1" applyProtection="1">
      <alignment horizontal="center"/>
    </xf>
    <xf numFmtId="10" fontId="48" fillId="0" borderId="0" xfId="549" applyNumberFormat="1" applyFont="1" applyFill="1" applyAlignment="1" applyProtection="1">
      <alignment horizontal="center"/>
    </xf>
    <xf numFmtId="0" fontId="7" fillId="0" borderId="0" xfId="549" applyNumberFormat="1" applyFont="1" applyFill="1" applyBorder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166" fontId="7" fillId="0" borderId="0" xfId="549" applyNumberFormat="1" applyFont="1" applyAlignment="1" applyProtection="1">
      <alignment horizontal="center"/>
    </xf>
    <xf numFmtId="167" fontId="7" fillId="0" borderId="0" xfId="549" applyNumberFormat="1" applyFont="1" applyFill="1" applyAlignment="1" applyProtection="1"/>
    <xf numFmtId="165" fontId="7" fillId="0" borderId="0" xfId="549" applyNumberFormat="1" applyFont="1" applyAlignment="1" applyProtection="1">
      <alignment horizontal="center"/>
    </xf>
    <xf numFmtId="165" fontId="7" fillId="0" borderId="0" xfId="549" applyNumberFormat="1" applyFont="1" applyBorder="1" applyAlignment="1" applyProtection="1">
      <alignment horizontal="center"/>
    </xf>
    <xf numFmtId="169" fontId="7" fillId="0" borderId="13" xfId="549" applyFont="1" applyBorder="1" applyAlignment="1" applyProtection="1"/>
    <xf numFmtId="0" fontId="7" fillId="0" borderId="0" xfId="549" applyNumberFormat="1" applyFont="1" applyBorder="1" applyAlignment="1" applyProtection="1">
      <alignment horizontal="center"/>
    </xf>
    <xf numFmtId="3" fontId="7" fillId="0" borderId="14" xfId="549" applyNumberFormat="1" applyFont="1" applyBorder="1" applyAlignment="1" applyProtection="1"/>
    <xf numFmtId="41" fontId="7" fillId="0" borderId="0" xfId="549" applyNumberFormat="1" applyFont="1" applyAlignment="1" applyProtection="1"/>
    <xf numFmtId="41" fontId="7" fillId="0" borderId="0" xfId="549" applyNumberFormat="1" applyFont="1" applyAlignment="1" applyProtection="1">
      <alignment horizontal="center"/>
    </xf>
    <xf numFmtId="41" fontId="7" fillId="0" borderId="0" xfId="549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7" fillId="0" borderId="0" xfId="549" applyNumberFormat="1" applyFont="1" applyBorder="1" applyAlignment="1" applyProtection="1">
      <alignment horizontal="right"/>
    </xf>
    <xf numFmtId="167" fontId="48" fillId="0" borderId="0" xfId="549" applyNumberFormat="1" applyFont="1" applyFill="1" applyAlignment="1" applyProtection="1"/>
    <xf numFmtId="165" fontId="15" fillId="0" borderId="15" xfId="549" applyNumberFormat="1" applyFont="1" applyBorder="1" applyAlignment="1" applyProtection="1">
      <alignment horizontal="center"/>
    </xf>
    <xf numFmtId="0" fontId="7" fillId="28" borderId="6" xfId="549" applyNumberFormat="1" applyFont="1" applyFill="1" applyBorder="1" applyAlignment="1" applyProtection="1">
      <alignment horizontal="center"/>
    </xf>
    <xf numFmtId="170" fontId="7" fillId="0" borderId="6" xfId="549" applyNumberFormat="1" applyFont="1" applyBorder="1" applyAlignment="1" applyProtection="1">
      <alignment horizontal="center"/>
    </xf>
    <xf numFmtId="171" fontId="0" fillId="0" borderId="16" xfId="0" applyNumberFormat="1" applyBorder="1" applyProtection="1"/>
    <xf numFmtId="3" fontId="7" fillId="0" borderId="0" xfId="549" applyNumberFormat="1" applyFont="1" applyAlignment="1" applyProtection="1">
      <alignment horizontal="right"/>
    </xf>
    <xf numFmtId="0" fontId="63" fillId="0" borderId="0" xfId="0" applyFont="1" applyAlignment="1" applyProtection="1">
      <alignment horizontal="center"/>
    </xf>
    <xf numFmtId="10" fontId="7" fillId="0" borderId="0" xfId="549" applyNumberFormat="1" applyFont="1" applyFill="1" applyAlignment="1" applyProtection="1">
      <alignment horizontal="left"/>
    </xf>
    <xf numFmtId="41" fontId="7" fillId="0" borderId="0" xfId="549" applyNumberFormat="1" applyFont="1" applyBorder="1" applyAlignment="1" applyProtection="1"/>
    <xf numFmtId="41" fontId="7" fillId="0" borderId="0" xfId="549" applyNumberFormat="1" applyFont="1" applyFill="1" applyAlignment="1" applyProtection="1"/>
    <xf numFmtId="0" fontId="7" fillId="0" borderId="0" xfId="549" applyNumberFormat="1" applyFont="1" applyAlignment="1" applyProtection="1">
      <alignment horizontal="center"/>
    </xf>
    <xf numFmtId="41" fontId="7" fillId="0" borderId="0" xfId="549" quotePrefix="1" applyNumberFormat="1" applyFont="1" applyBorder="1" applyAlignment="1" applyProtection="1"/>
    <xf numFmtId="41" fontId="7" fillId="0" borderId="0" xfId="549" applyNumberFormat="1" applyFont="1" applyFill="1" applyBorder="1" applyAlignment="1" applyProtection="1">
      <alignment horizontal="right"/>
    </xf>
    <xf numFmtId="172" fontId="7" fillId="0" borderId="11" xfId="549" applyNumberFormat="1" applyFont="1" applyBorder="1" applyAlignment="1" applyProtection="1"/>
    <xf numFmtId="164" fontId="7" fillId="0" borderId="0" xfId="549" applyNumberFormat="1" applyFont="1" applyFill="1" applyBorder="1" applyAlignment="1" applyProtection="1">
      <alignment horizontal="left"/>
    </xf>
    <xf numFmtId="164" fontId="7" fillId="0" borderId="0" xfId="549" applyNumberFormat="1" applyFont="1" applyBorder="1" applyAlignment="1" applyProtection="1">
      <alignment horizontal="left"/>
    </xf>
    <xf numFmtId="3" fontId="7" fillId="0" borderId="0" xfId="549" applyNumberFormat="1" applyFont="1" applyAlignment="1" applyProtection="1">
      <alignment vertical="center" wrapText="1"/>
    </xf>
    <xf numFmtId="41" fontId="7" fillId="0" borderId="0" xfId="549" applyNumberFormat="1" applyFont="1" applyBorder="1" applyAlignment="1" applyProtection="1">
      <alignment vertical="center"/>
    </xf>
    <xf numFmtId="41" fontId="7" fillId="0" borderId="0" xfId="549" applyNumberFormat="1" applyFont="1" applyBorder="1" applyAlignment="1" applyProtection="1">
      <alignment horizontal="center" vertical="center"/>
    </xf>
    <xf numFmtId="41" fontId="7" fillId="0" borderId="0" xfId="549" applyNumberFormat="1" applyFont="1" applyAlignment="1" applyProtection="1">
      <alignment horizontal="right"/>
    </xf>
    <xf numFmtId="10" fontId="7" fillId="0" borderId="0" xfId="0" applyNumberFormat="1" applyFont="1" applyBorder="1" applyProtection="1"/>
    <xf numFmtId="0" fontId="7" fillId="0" borderId="0" xfId="0" applyFont="1" applyFill="1" applyAlignment="1" applyProtection="1">
      <alignment horizontal="center"/>
    </xf>
    <xf numFmtId="41" fontId="7" fillId="0" borderId="0" xfId="0" applyNumberFormat="1" applyFont="1" applyProtection="1"/>
    <xf numFmtId="3" fontId="14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/>
    <xf numFmtId="3" fontId="14" fillId="0" borderId="0" xfId="549" applyNumberFormat="1" applyFont="1" applyFill="1" applyBorder="1" applyAlignment="1" applyProtection="1">
      <alignment horizontal="center"/>
    </xf>
    <xf numFmtId="41" fontId="14" fillId="0" borderId="0" xfId="549" applyNumberFormat="1" applyFont="1" applyFill="1" applyBorder="1" applyAlignment="1" applyProtection="1"/>
    <xf numFmtId="0" fontId="14" fillId="0" borderId="0" xfId="549" applyNumberFormat="1" applyFont="1" applyFill="1" applyBorder="1" applyAlignment="1" applyProtection="1"/>
    <xf numFmtId="0" fontId="47" fillId="0" borderId="0" xfId="0" applyFont="1" applyFill="1" applyProtection="1"/>
    <xf numFmtId="0" fontId="6" fillId="0" borderId="0" xfId="0" applyFont="1" applyFill="1" applyProtection="1"/>
    <xf numFmtId="0" fontId="14" fillId="0" borderId="0" xfId="549" applyNumberFormat="1" applyFont="1" applyFill="1" applyBorder="1" applyProtection="1"/>
    <xf numFmtId="0" fontId="7" fillId="0" borderId="0" xfId="549" applyNumberFormat="1" applyFont="1" applyFill="1" applyBorder="1" applyAlignment="1" applyProtection="1"/>
    <xf numFmtId="3" fontId="7" fillId="0" borderId="0" xfId="549" applyNumberFormat="1" applyFont="1" applyFill="1" applyBorder="1" applyAlignment="1" applyProtection="1"/>
    <xf numFmtId="41" fontId="7" fillId="0" borderId="0" xfId="549" applyNumberFormat="1" applyFont="1" applyFill="1" applyBorder="1" applyAlignment="1" applyProtection="1">
      <alignment horizontal="center"/>
    </xf>
    <xf numFmtId="0" fontId="7" fillId="0" borderId="0" xfId="549" applyNumberFormat="1" applyFont="1" applyFill="1" applyBorder="1" applyProtection="1"/>
    <xf numFmtId="3" fontId="7" fillId="0" borderId="0" xfId="549" applyNumberFormat="1" applyFont="1" applyFill="1" applyBorder="1" applyAlignment="1" applyProtection="1">
      <alignment horizontal="center"/>
    </xf>
    <xf numFmtId="41" fontId="7" fillId="0" borderId="11" xfId="549" applyNumberFormat="1" applyFont="1" applyFill="1" applyBorder="1" applyAlignment="1" applyProtection="1"/>
    <xf numFmtId="0" fontId="7" fillId="0" borderId="0" xfId="0" applyFont="1" applyFill="1" applyBorder="1" applyProtection="1"/>
    <xf numFmtId="0" fontId="7" fillId="0" borderId="0" xfId="549" applyNumberFormat="1" applyFont="1" applyFill="1" applyBorder="1" applyAlignment="1" applyProtection="1">
      <alignment horizontal="center"/>
    </xf>
    <xf numFmtId="10" fontId="7" fillId="0" borderId="0" xfId="549" applyNumberFormat="1" applyFont="1" applyFill="1" applyBorder="1" applyAlignment="1" applyProtection="1"/>
    <xf numFmtId="167" fontId="7" fillId="0" borderId="0" xfId="549" applyNumberFormat="1" applyFont="1" applyFill="1" applyBorder="1" applyAlignment="1" applyProtection="1"/>
    <xf numFmtId="169" fontId="7" fillId="0" borderId="0" xfId="549" applyFont="1" applyFill="1" applyBorder="1" applyAlignment="1" applyProtection="1"/>
    <xf numFmtId="3" fontId="7" fillId="0" borderId="0" xfId="549" quotePrefix="1" applyNumberFormat="1" applyFont="1" applyFill="1" applyBorder="1" applyAlignment="1" applyProtection="1"/>
    <xf numFmtId="3" fontId="39" fillId="0" borderId="0" xfId="549" applyNumberFormat="1" applyFont="1" applyFill="1" applyBorder="1" applyAlignment="1" applyProtection="1">
      <alignment horizontal="right"/>
    </xf>
    <xf numFmtId="167" fontId="39" fillId="0" borderId="0" xfId="549" applyNumberFormat="1" applyFont="1" applyFill="1" applyBorder="1" applyAlignment="1" applyProtection="1"/>
    <xf numFmtId="3" fontId="39" fillId="0" borderId="0" xfId="549" quotePrefix="1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41" fontId="7" fillId="0" borderId="0" xfId="0" applyNumberFormat="1" applyFont="1" applyFill="1" applyBorder="1" applyProtection="1"/>
    <xf numFmtId="170" fontId="7" fillId="0" borderId="0" xfId="117" applyNumberFormat="1" applyFont="1" applyFill="1" applyBorder="1" applyProtection="1"/>
    <xf numFmtId="41" fontId="48" fillId="0" borderId="0" xfId="549" applyNumberFormat="1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Alignment="1" applyProtection="1"/>
    <xf numFmtId="41" fontId="7" fillId="0" borderId="11" xfId="0" applyNumberFormat="1" applyFont="1" applyFill="1" applyBorder="1" applyProtection="1"/>
    <xf numFmtId="41" fontId="7" fillId="0" borderId="0" xfId="0" applyNumberFormat="1" applyFont="1" applyBorder="1" applyProtection="1"/>
    <xf numFmtId="41" fontId="48" fillId="0" borderId="0" xfId="0" applyNumberFormat="1" applyFont="1" applyProtection="1"/>
    <xf numFmtId="0" fontId="7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41" fontId="7" fillId="0" borderId="0" xfId="0" applyNumberFormat="1" applyFont="1" applyFill="1" applyProtection="1"/>
    <xf numFmtId="170" fontId="7" fillId="0" borderId="0" xfId="117" applyNumberFormat="1" applyFont="1" applyFill="1" applyProtection="1"/>
    <xf numFmtId="10" fontId="7" fillId="0" borderId="11" xfId="0" applyNumberFormat="1" applyFont="1" applyFill="1" applyBorder="1" applyProtection="1"/>
    <xf numFmtId="9" fontId="7" fillId="0" borderId="11" xfId="559" applyFont="1" applyFill="1" applyBorder="1" applyProtection="1"/>
    <xf numFmtId="170" fontId="7" fillId="0" borderId="11" xfId="117" applyNumberFormat="1" applyFont="1" applyFill="1" applyBorder="1" applyAlignment="1" applyProtection="1"/>
    <xf numFmtId="41" fontId="7" fillId="0" borderId="11" xfId="0" applyNumberFormat="1" applyFont="1" applyBorder="1" applyProtection="1"/>
    <xf numFmtId="10" fontId="7" fillId="0" borderId="0" xfId="0" applyNumberFormat="1" applyFont="1" applyProtection="1"/>
    <xf numFmtId="10" fontId="48" fillId="0" borderId="0" xfId="0" applyNumberFormat="1" applyFont="1" applyProtection="1"/>
    <xf numFmtId="170" fontId="7" fillId="0" borderId="11" xfId="117" applyNumberFormat="1" applyFont="1" applyFill="1" applyBorder="1" applyProtection="1"/>
    <xf numFmtId="174" fontId="7" fillId="0" borderId="0" xfId="0" applyNumberFormat="1" applyFont="1" applyProtection="1"/>
    <xf numFmtId="43" fontId="7" fillId="0" borderId="0" xfId="117" applyFont="1" applyProtection="1"/>
    <xf numFmtId="43" fontId="7" fillId="0" borderId="0" xfId="117" applyNumberFormat="1" applyFont="1" applyProtection="1"/>
    <xf numFmtId="170" fontId="7" fillId="0" borderId="0" xfId="0" applyNumberFormat="1" applyFont="1" applyProtection="1"/>
    <xf numFmtId="0" fontId="7" fillId="0" borderId="0" xfId="0" applyNumberFormat="1" applyFont="1" applyBorder="1" applyAlignment="1" applyProtection="1">
      <alignment horizontal="center"/>
    </xf>
    <xf numFmtId="170" fontId="7" fillId="0" borderId="0" xfId="0" applyNumberFormat="1" applyFont="1" applyBorder="1" applyProtection="1"/>
    <xf numFmtId="170" fontId="7" fillId="0" borderId="0" xfId="117" applyNumberFormat="1" applyFont="1" applyBorder="1" applyProtection="1"/>
    <xf numFmtId="171" fontId="7" fillId="0" borderId="0" xfId="0" applyNumberFormat="1" applyFont="1" applyBorder="1" applyProtection="1"/>
    <xf numFmtId="0" fontId="65" fillId="0" borderId="0" xfId="0" quotePrefix="1" applyFont="1" applyAlignment="1" applyProtection="1">
      <alignment horizontal="left"/>
    </xf>
    <xf numFmtId="0" fontId="66" fillId="0" borderId="0" xfId="0" quotePrefix="1" applyFont="1" applyAlignment="1" applyProtection="1">
      <alignment horizontal="left"/>
    </xf>
    <xf numFmtId="0" fontId="7" fillId="0" borderId="17" xfId="0" quotePrefix="1" applyFont="1" applyFill="1" applyBorder="1" applyAlignment="1" applyProtection="1">
      <alignment horizontal="left"/>
    </xf>
    <xf numFmtId="0" fontId="0" fillId="0" borderId="46" xfId="0" quotePrefix="1" applyBorder="1" applyAlignment="1" applyProtection="1">
      <alignment horizontal="left"/>
    </xf>
    <xf numFmtId="0" fontId="121" fillId="0" borderId="41" xfId="0" quotePrefix="1" applyFont="1" applyFill="1" applyBorder="1" applyAlignment="1" applyProtection="1">
      <alignment horizontal="right"/>
    </xf>
    <xf numFmtId="0" fontId="103" fillId="0" borderId="14" xfId="0" applyFont="1" applyBorder="1" applyProtection="1"/>
    <xf numFmtId="10" fontId="7" fillId="0" borderId="0" xfId="0" applyNumberFormat="1" applyFont="1" applyFill="1" applyProtection="1"/>
    <xf numFmtId="170" fontId="121" fillId="0" borderId="41" xfId="308" applyNumberFormat="1" applyFont="1" applyFill="1" applyBorder="1" applyProtection="1"/>
    <xf numFmtId="180" fontId="121" fillId="0" borderId="41" xfId="620" applyNumberFormat="1" applyFont="1" applyFill="1" applyBorder="1" applyProtection="1"/>
    <xf numFmtId="0" fontId="103" fillId="0" borderId="39" xfId="0" applyFont="1" applyBorder="1" applyProtection="1"/>
    <xf numFmtId="0" fontId="103" fillId="0" borderId="40" xfId="0" applyFont="1" applyBorder="1" applyProtection="1"/>
    <xf numFmtId="41" fontId="54" fillId="0" borderId="13" xfId="0" applyNumberFormat="1" applyFont="1" applyBorder="1" applyProtection="1"/>
    <xf numFmtId="3" fontId="7" fillId="0" borderId="43" xfId="484" applyNumberFormat="1" applyFont="1" applyFill="1" applyBorder="1" applyProtection="1"/>
    <xf numFmtId="10" fontId="54" fillId="0" borderId="13" xfId="0" applyNumberFormat="1" applyFont="1" applyBorder="1" applyProtection="1"/>
    <xf numFmtId="0" fontId="7" fillId="0" borderId="14" xfId="484" applyFont="1" applyFill="1" applyBorder="1" applyProtection="1"/>
    <xf numFmtId="10" fontId="121" fillId="0" borderId="41" xfId="561" applyNumberFormat="1" applyFont="1" applyFill="1" applyBorder="1" applyProtection="1"/>
    <xf numFmtId="0" fontId="54" fillId="0" borderId="20" xfId="0" applyFont="1" applyBorder="1" applyProtection="1"/>
    <xf numFmtId="170" fontId="121" fillId="0" borderId="42" xfId="0" applyNumberFormat="1" applyFont="1" applyFill="1" applyBorder="1" applyProtection="1"/>
    <xf numFmtId="0" fontId="54" fillId="0" borderId="44" xfId="0" applyFont="1" applyBorder="1" applyProtection="1"/>
    <xf numFmtId="170" fontId="7" fillId="0" borderId="0" xfId="0" applyNumberFormat="1" applyFont="1" applyFill="1" applyBorder="1" applyProtection="1"/>
    <xf numFmtId="0" fontId="54" fillId="0" borderId="16" xfId="0" applyFont="1" applyBorder="1" applyProtection="1"/>
    <xf numFmtId="170" fontId="54" fillId="0" borderId="24" xfId="0" applyNumberFormat="1" applyFont="1" applyBorder="1" applyProtection="1"/>
    <xf numFmtId="170" fontId="54" fillId="0" borderId="25" xfId="0" applyNumberFormat="1" applyFont="1" applyBorder="1" applyProtection="1"/>
    <xf numFmtId="171" fontId="54" fillId="0" borderId="26" xfId="0" applyNumberFormat="1" applyFont="1" applyBorder="1" applyProtection="1"/>
    <xf numFmtId="0" fontId="50" fillId="0" borderId="0" xfId="0" applyFont="1" applyFill="1" applyProtection="1"/>
    <xf numFmtId="0" fontId="0" fillId="0" borderId="0" xfId="0" applyAlignment="1" applyProtection="1">
      <alignment wrapText="1"/>
    </xf>
    <xf numFmtId="0" fontId="7" fillId="26" borderId="0" xfId="117" applyNumberFormat="1" applyFont="1" applyFill="1" applyAlignment="1" applyProtection="1"/>
    <xf numFmtId="0" fontId="7" fillId="0" borderId="0" xfId="117" applyNumberFormat="1" applyFont="1" applyFill="1" applyAlignment="1" applyProtection="1"/>
    <xf numFmtId="169" fontId="15" fillId="0" borderId="17" xfId="549" applyFont="1" applyBorder="1" applyAlignment="1" applyProtection="1"/>
    <xf numFmtId="169" fontId="7" fillId="0" borderId="18" xfId="549" applyFont="1" applyBorder="1" applyAlignment="1" applyProtection="1"/>
    <xf numFmtId="3" fontId="7" fillId="0" borderId="19" xfId="549" applyNumberFormat="1" applyFont="1" applyBorder="1" applyAlignment="1" applyProtection="1"/>
    <xf numFmtId="0" fontId="7" fillId="28" borderId="0" xfId="549" applyNumberFormat="1" applyFont="1" applyFill="1" applyBorder="1" applyAlignment="1" applyProtection="1">
      <alignment horizontal="center"/>
    </xf>
    <xf numFmtId="167" fontId="7" fillId="0" borderId="0" xfId="549" applyNumberFormat="1" applyFont="1" applyAlignment="1" applyProtection="1"/>
    <xf numFmtId="0" fontId="7" fillId="0" borderId="0" xfId="0" quotePrefix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14" xfId="0" applyNumberFormat="1" applyBorder="1" applyProtection="1"/>
    <xf numFmtId="0" fontId="0" fillId="0" borderId="0" xfId="0" quotePrefix="1" applyBorder="1" applyAlignment="1" applyProtection="1">
      <alignment horizontal="right"/>
    </xf>
    <xf numFmtId="171" fontId="0" fillId="0" borderId="6" xfId="0" applyNumberFormat="1" applyBorder="1" applyProtection="1"/>
    <xf numFmtId="167" fontId="48" fillId="0" borderId="0" xfId="549" applyNumberFormat="1" applyFont="1" applyAlignment="1" applyProtection="1"/>
    <xf numFmtId="0" fontId="0" fillId="0" borderId="0" xfId="0" applyBorder="1" applyAlignment="1" applyProtection="1">
      <alignment horizontal="right"/>
    </xf>
    <xf numFmtId="170" fontId="0" fillId="0" borderId="0" xfId="0" applyNumberFormat="1" applyBorder="1" applyProtection="1"/>
    <xf numFmtId="170" fontId="0" fillId="0" borderId="19" xfId="0" applyNumberFormat="1" applyBorder="1" applyProtection="1"/>
    <xf numFmtId="173" fontId="7" fillId="0" borderId="0" xfId="549" applyNumberFormat="1" applyFont="1" applyAlignment="1" applyProtection="1"/>
    <xf numFmtId="165" fontId="7" fillId="0" borderId="15" xfId="549" applyNumberFormat="1" applyFont="1" applyBorder="1" applyAlignment="1" applyProtection="1">
      <alignment horizontal="center"/>
    </xf>
    <xf numFmtId="0" fontId="7" fillId="0" borderId="6" xfId="549" applyNumberFormat="1" applyFont="1" applyBorder="1" applyAlignment="1" applyProtection="1">
      <alignment horizontal="center"/>
    </xf>
    <xf numFmtId="170" fontId="7" fillId="0" borderId="6" xfId="549" quotePrefix="1" applyNumberFormat="1" applyFont="1" applyBorder="1" applyAlignment="1" applyProtection="1">
      <alignment horizontal="center"/>
    </xf>
    <xf numFmtId="41" fontId="48" fillId="0" borderId="11" xfId="549" applyNumberFormat="1" applyFont="1" applyFill="1" applyBorder="1" applyAlignment="1" applyProtection="1"/>
    <xf numFmtId="10" fontId="7" fillId="0" borderId="0" xfId="0" applyNumberFormat="1" applyFont="1" applyFill="1" applyBorder="1" applyProtection="1"/>
    <xf numFmtId="9" fontId="7" fillId="0" borderId="0" xfId="559" applyFont="1" applyFill="1" applyBorder="1" applyProtection="1"/>
    <xf numFmtId="170" fontId="7" fillId="0" borderId="0" xfId="117" applyNumberFormat="1" applyFont="1" applyFill="1" applyBorder="1" applyAlignment="1" applyProtection="1"/>
    <xf numFmtId="41" fontId="56" fillId="0" borderId="0" xfId="0" applyNumberFormat="1" applyFont="1" applyProtection="1"/>
    <xf numFmtId="10" fontId="0" fillId="0" borderId="0" xfId="0" applyNumberFormat="1" applyProtection="1"/>
    <xf numFmtId="164" fontId="1" fillId="0" borderId="0" xfId="559" applyNumberFormat="1" applyProtection="1"/>
    <xf numFmtId="0" fontId="7" fillId="0" borderId="47" xfId="0" quotePrefix="1" applyFont="1" applyFill="1" applyBorder="1" applyAlignment="1" applyProtection="1">
      <alignment horizontal="left"/>
    </xf>
    <xf numFmtId="0" fontId="0" fillId="0" borderId="19" xfId="0" applyBorder="1" applyProtection="1"/>
    <xf numFmtId="0" fontId="54" fillId="0" borderId="41" xfId="0" quotePrefix="1" applyFont="1" applyFill="1" applyBorder="1" applyAlignment="1" applyProtection="1">
      <alignment horizontal="right"/>
    </xf>
    <xf numFmtId="10" fontId="54" fillId="0" borderId="41" xfId="0" applyNumberFormat="1" applyFont="1" applyBorder="1" applyProtection="1"/>
    <xf numFmtId="170" fontId="54" fillId="0" borderId="41" xfId="317" applyNumberFormat="1" applyFont="1" applyBorder="1" applyProtection="1"/>
    <xf numFmtId="166" fontId="54" fillId="0" borderId="41" xfId="0" applyNumberFormat="1" applyFont="1" applyBorder="1" applyProtection="1"/>
    <xf numFmtId="3" fontId="54" fillId="0" borderId="43" xfId="0" applyNumberFormat="1" applyFont="1" applyBorder="1" applyProtection="1"/>
    <xf numFmtId="0" fontId="54" fillId="0" borderId="14" xfId="0" applyFont="1" applyBorder="1" applyProtection="1"/>
    <xf numFmtId="0" fontId="7" fillId="0" borderId="14" xfId="0" applyFont="1" applyFill="1" applyBorder="1" applyProtection="1"/>
    <xf numFmtId="170" fontId="54" fillId="0" borderId="41" xfId="0" applyNumberFormat="1" applyFont="1" applyBorder="1" applyProtection="1"/>
    <xf numFmtId="170" fontId="54" fillId="0" borderId="42" xfId="0" applyNumberFormat="1" applyFont="1" applyBorder="1" applyProtection="1"/>
    <xf numFmtId="170" fontId="54" fillId="0" borderId="45" xfId="0" applyNumberFormat="1" applyFont="1" applyBorder="1" applyProtection="1"/>
    <xf numFmtId="171" fontId="54" fillId="0" borderId="25" xfId="0" applyNumberFormat="1" applyFont="1" applyBorder="1" applyProtection="1"/>
    <xf numFmtId="0" fontId="50" fillId="0" borderId="0" xfId="0" quotePrefix="1" applyFont="1" applyAlignment="1" applyProtection="1">
      <alignment horizontal="left"/>
    </xf>
    <xf numFmtId="0" fontId="4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right"/>
    </xf>
    <xf numFmtId="0" fontId="46" fillId="0" borderId="0" xfId="0" quotePrefix="1" applyFont="1" applyAlignment="1" applyProtection="1">
      <alignment horizontal="right"/>
    </xf>
    <xf numFmtId="0" fontId="68" fillId="0" borderId="0" xfId="0" quotePrefix="1" applyFont="1" applyAlignment="1" applyProtection="1">
      <alignment horizontal="left"/>
    </xf>
    <xf numFmtId="0" fontId="39" fillId="0" borderId="0" xfId="0" applyFont="1" applyAlignment="1" applyProtection="1">
      <alignment horizontal="left"/>
    </xf>
    <xf numFmtId="0" fontId="51" fillId="27" borderId="0" xfId="117" applyNumberFormat="1" applyFont="1" applyFill="1" applyAlignment="1" applyProtection="1">
      <alignment horizontal="left"/>
    </xf>
    <xf numFmtId="0" fontId="39" fillId="0" borderId="17" xfId="0" applyFont="1" applyBorder="1" applyProtection="1"/>
    <xf numFmtId="0" fontId="39" fillId="0" borderId="18" xfId="0" applyFont="1" applyBorder="1" applyProtection="1"/>
    <xf numFmtId="0" fontId="7" fillId="0" borderId="18" xfId="0" applyFont="1" applyBorder="1" applyProtection="1"/>
    <xf numFmtId="170" fontId="39" fillId="0" borderId="19" xfId="117" applyNumberFormat="1" applyFont="1" applyBorder="1" applyProtection="1"/>
    <xf numFmtId="0" fontId="14" fillId="0" borderId="0" xfId="117" applyNumberFormat="1" applyFont="1" applyFill="1" applyAlignment="1" applyProtection="1">
      <alignment horizontal="left"/>
    </xf>
    <xf numFmtId="0" fontId="14" fillId="0" borderId="0" xfId="117" applyNumberFormat="1" applyFont="1" applyFill="1" applyBorder="1" applyAlignment="1" applyProtection="1">
      <alignment horizontal="left"/>
    </xf>
    <xf numFmtId="0" fontId="39" fillId="0" borderId="13" xfId="0" applyFont="1" applyBorder="1" applyProtection="1"/>
    <xf numFmtId="0" fontId="9" fillId="0" borderId="0" xfId="117" applyNumberFormat="1" applyFont="1" applyFill="1" applyBorder="1" applyAlignment="1" applyProtection="1">
      <alignment horizontal="left"/>
    </xf>
    <xf numFmtId="170" fontId="39" fillId="0" borderId="20" xfId="117" applyNumberFormat="1" applyFont="1" applyBorder="1" applyProtection="1"/>
    <xf numFmtId="0" fontId="39" fillId="0" borderId="0" xfId="0" applyFont="1" applyFill="1" applyProtection="1"/>
    <xf numFmtId="0" fontId="52" fillId="0" borderId="0" xfId="0" quotePrefix="1" applyFont="1" applyFill="1" applyAlignment="1" applyProtection="1">
      <alignment horizontal="left"/>
    </xf>
    <xf numFmtId="170" fontId="39" fillId="0" borderId="15" xfId="117" applyNumberFormat="1" applyFont="1" applyBorder="1" applyProtection="1"/>
    <xf numFmtId="170" fontId="7" fillId="0" borderId="6" xfId="117" applyNumberFormat="1" applyFont="1" applyBorder="1" applyProtection="1"/>
    <xf numFmtId="170" fontId="7" fillId="0" borderId="16" xfId="117" applyNumberFormat="1" applyFont="1" applyBorder="1" applyProtection="1"/>
    <xf numFmtId="0" fontId="53" fillId="0" borderId="0" xfId="0" applyFont="1" applyFill="1" applyAlignment="1" applyProtection="1"/>
    <xf numFmtId="0" fontId="55" fillId="0" borderId="0" xfId="0" applyFont="1" applyFill="1" applyAlignment="1" applyProtection="1"/>
    <xf numFmtId="0" fontId="7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9" fillId="0" borderId="21" xfId="0" applyFont="1" applyFill="1" applyBorder="1" applyAlignment="1" applyProtection="1">
      <alignment horizontal="center"/>
    </xf>
    <xf numFmtId="0" fontId="61" fillId="28" borderId="22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>
      <alignment horizontal="center"/>
    </xf>
    <xf numFmtId="0" fontId="39" fillId="0" borderId="23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7" fillId="0" borderId="13" xfId="0" quotePrefix="1" applyFont="1" applyFill="1" applyBorder="1" applyAlignment="1" applyProtection="1">
      <alignment horizontal="left"/>
    </xf>
    <xf numFmtId="170" fontId="54" fillId="27" borderId="14" xfId="117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/>
    </xf>
    <xf numFmtId="0" fontId="39" fillId="0" borderId="19" xfId="0" applyFont="1" applyFill="1" applyBorder="1" applyAlignment="1" applyProtection="1">
      <alignment horizontal="center"/>
    </xf>
    <xf numFmtId="0" fontId="7" fillId="0" borderId="13" xfId="0" applyFont="1" applyFill="1" applyBorder="1" applyProtection="1"/>
    <xf numFmtId="0" fontId="54" fillId="27" borderId="14" xfId="0" applyFont="1" applyFill="1" applyBorder="1" applyAlignment="1" applyProtection="1">
      <alignment horizontal="right"/>
    </xf>
    <xf numFmtId="170" fontId="7" fillId="0" borderId="14" xfId="0" applyNumberFormat="1" applyFont="1" applyFill="1" applyBorder="1" applyAlignment="1" applyProtection="1">
      <alignment horizontal="right"/>
    </xf>
    <xf numFmtId="170" fontId="7" fillId="0" borderId="0" xfId="0" applyNumberFormat="1" applyFont="1" applyFill="1" applyBorder="1" applyAlignment="1" applyProtection="1">
      <alignment horizontal="right"/>
    </xf>
    <xf numFmtId="10" fontId="7" fillId="0" borderId="14" xfId="0" applyNumberFormat="1" applyFont="1" applyBorder="1" applyProtection="1"/>
    <xf numFmtId="170" fontId="7" fillId="0" borderId="14" xfId="117" applyNumberFormat="1" applyFont="1" applyBorder="1" applyProtection="1"/>
    <xf numFmtId="0" fontId="39" fillId="0" borderId="24" xfId="0" applyFont="1" applyBorder="1" applyAlignment="1" applyProtection="1">
      <alignment horizontal="center"/>
    </xf>
    <xf numFmtId="170" fontId="39" fillId="0" borderId="24" xfId="117" applyNumberFormat="1" applyFont="1" applyBorder="1" applyAlignment="1" applyProtection="1">
      <alignment horizontal="center"/>
    </xf>
    <xf numFmtId="170" fontId="39" fillId="27" borderId="19" xfId="117" quotePrefix="1" applyNumberFormat="1" applyFont="1" applyFill="1" applyBorder="1" applyAlignment="1" applyProtection="1">
      <alignment horizontal="center" wrapText="1"/>
    </xf>
    <xf numFmtId="170" fontId="39" fillId="0" borderId="19" xfId="117" quotePrefix="1" applyNumberFormat="1" applyFont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/>
    </xf>
    <xf numFmtId="170" fontId="39" fillId="0" borderId="24" xfId="117" quotePrefix="1" applyNumberFormat="1" applyFont="1" applyBorder="1" applyAlignment="1" applyProtection="1">
      <alignment horizontal="center" wrapText="1"/>
    </xf>
    <xf numFmtId="170" fontId="39" fillId="0" borderId="24" xfId="117" applyNumberFormat="1" applyFont="1" applyFill="1" applyBorder="1" applyAlignment="1" applyProtection="1">
      <alignment horizontal="center" wrapText="1"/>
    </xf>
    <xf numFmtId="170" fontId="39" fillId="0" borderId="24" xfId="117" applyNumberFormat="1" applyFont="1" applyBorder="1" applyAlignment="1" applyProtection="1">
      <alignment horizontal="center" wrapText="1"/>
    </xf>
    <xf numFmtId="0" fontId="39" fillId="0" borderId="26" xfId="0" applyFont="1" applyBorder="1" applyAlignment="1" applyProtection="1">
      <alignment horizontal="center"/>
    </xf>
    <xf numFmtId="170" fontId="39" fillId="27" borderId="16" xfId="117" applyNumberFormat="1" applyFont="1" applyFill="1" applyBorder="1" applyAlignment="1" applyProtection="1">
      <alignment horizontal="center"/>
    </xf>
    <xf numFmtId="170" fontId="39" fillId="0" borderId="16" xfId="117" applyNumberFormat="1" applyFont="1" applyBorder="1" applyAlignment="1" applyProtection="1">
      <alignment horizontal="center"/>
    </xf>
    <xf numFmtId="0" fontId="39" fillId="0" borderId="26" xfId="0" applyFont="1" applyFill="1" applyBorder="1" applyAlignment="1" applyProtection="1">
      <alignment horizontal="center"/>
    </xf>
    <xf numFmtId="0" fontId="39" fillId="0" borderId="25" xfId="0" applyFont="1" applyFill="1" applyBorder="1" applyAlignment="1" applyProtection="1">
      <alignment horizontal="center"/>
    </xf>
    <xf numFmtId="170" fontId="39" fillId="0" borderId="26" xfId="117" applyNumberFormat="1" applyFont="1" applyBorder="1" applyAlignment="1" applyProtection="1">
      <alignment horizontal="center"/>
    </xf>
    <xf numFmtId="170" fontId="39" fillId="0" borderId="26" xfId="117" applyNumberFormat="1" applyFont="1" applyFill="1" applyBorder="1" applyAlignment="1" applyProtection="1">
      <alignment horizontal="center"/>
    </xf>
    <xf numFmtId="170" fontId="39" fillId="0" borderId="15" xfId="117" applyNumberFormat="1" applyFont="1" applyFill="1" applyBorder="1" applyAlignment="1" applyProtection="1">
      <alignment horizontal="center"/>
    </xf>
    <xf numFmtId="0" fontId="7" fillId="0" borderId="25" xfId="0" applyNumberFormat="1" applyFont="1" applyBorder="1" applyAlignment="1" applyProtection="1">
      <alignment horizontal="center"/>
    </xf>
    <xf numFmtId="170" fontId="54" fillId="27" borderId="0" xfId="0" applyNumberFormat="1" applyFont="1" applyFill="1" applyBorder="1" applyProtection="1"/>
    <xf numFmtId="170" fontId="54" fillId="27" borderId="24" xfId="117" applyNumberFormat="1" applyFont="1" applyFill="1" applyBorder="1" applyProtection="1"/>
    <xf numFmtId="171" fontId="7" fillId="0" borderId="14" xfId="0" applyNumberFormat="1" applyFont="1" applyBorder="1" applyProtection="1"/>
    <xf numFmtId="171" fontId="54" fillId="0" borderId="25" xfId="0" applyNumberFormat="1" applyFont="1" applyFill="1" applyBorder="1" applyProtection="1"/>
    <xf numFmtId="171" fontId="7" fillId="0" borderId="24" xfId="0" applyNumberFormat="1" applyFont="1" applyBorder="1" applyProtection="1"/>
    <xf numFmtId="171" fontId="7" fillId="0" borderId="25" xfId="0" applyNumberFormat="1" applyFont="1" applyBorder="1" applyProtection="1"/>
    <xf numFmtId="170" fontId="54" fillId="27" borderId="25" xfId="0" applyNumberFormat="1" applyFont="1" applyFill="1" applyBorder="1" applyProtection="1"/>
    <xf numFmtId="170" fontId="54" fillId="27" borderId="25" xfId="117" applyNumberFormat="1" applyFont="1" applyFill="1" applyBorder="1" applyProtection="1"/>
    <xf numFmtId="170" fontId="54" fillId="27" borderId="14" xfId="117" applyNumberFormat="1" applyFont="1" applyFill="1" applyBorder="1" applyProtection="1"/>
    <xf numFmtId="0" fontId="7" fillId="0" borderId="25" xfId="0" applyNumberFormat="1" applyFont="1" applyFill="1" applyBorder="1" applyAlignment="1" applyProtection="1">
      <alignment horizontal="center"/>
    </xf>
    <xf numFmtId="170" fontId="7" fillId="0" borderId="25" xfId="0" applyNumberFormat="1" applyFont="1" applyFill="1" applyBorder="1" applyProtection="1"/>
    <xf numFmtId="170" fontId="1" fillId="0" borderId="25" xfId="117" applyNumberFormat="1" applyBorder="1" applyProtection="1"/>
    <xf numFmtId="170" fontId="7" fillId="0" borderId="25" xfId="0" applyNumberFormat="1" applyFont="1" applyBorder="1" applyProtection="1"/>
    <xf numFmtId="170" fontId="7" fillId="0" borderId="25" xfId="117" applyNumberFormat="1" applyFont="1" applyBorder="1" applyProtection="1"/>
    <xf numFmtId="171" fontId="54" fillId="27" borderId="25" xfId="0" applyNumberFormat="1" applyFont="1" applyFill="1" applyBorder="1" applyProtection="1"/>
    <xf numFmtId="170" fontId="7" fillId="0" borderId="25" xfId="117" applyNumberFormat="1" applyFont="1" applyFill="1" applyBorder="1" applyProtection="1"/>
    <xf numFmtId="0" fontId="7" fillId="0" borderId="26" xfId="0" applyNumberFormat="1" applyFont="1" applyBorder="1" applyAlignment="1" applyProtection="1">
      <alignment horizontal="center"/>
    </xf>
    <xf numFmtId="170" fontId="7" fillId="0" borderId="26" xfId="0" applyNumberFormat="1" applyFont="1" applyBorder="1" applyProtection="1"/>
    <xf numFmtId="170" fontId="1" fillId="0" borderId="26" xfId="117" applyNumberFormat="1" applyBorder="1" applyProtection="1"/>
    <xf numFmtId="170" fontId="7" fillId="0" borderId="26" xfId="117" applyNumberFormat="1" applyFont="1" applyFill="1" applyBorder="1" applyProtection="1"/>
    <xf numFmtId="171" fontId="7" fillId="0" borderId="16" xfId="0" applyNumberFormat="1" applyFont="1" applyBorder="1" applyProtection="1"/>
    <xf numFmtId="171" fontId="54" fillId="27" borderId="26" xfId="0" applyNumberFormat="1" applyFont="1" applyFill="1" applyBorder="1" applyProtection="1"/>
    <xf numFmtId="171" fontId="7" fillId="0" borderId="26" xfId="0" applyNumberFormat="1" applyFont="1" applyBorder="1" applyProtection="1"/>
    <xf numFmtId="0" fontId="53" fillId="0" borderId="0" xfId="0" applyFont="1" applyFill="1" applyProtection="1"/>
    <xf numFmtId="0" fontId="46" fillId="0" borderId="0" xfId="0" applyFont="1" applyFill="1" applyAlignment="1" applyProtection="1">
      <alignment horizontal="right"/>
    </xf>
    <xf numFmtId="0" fontId="69" fillId="0" borderId="0" xfId="0" applyFont="1" applyProtection="1"/>
    <xf numFmtId="0" fontId="7" fillId="0" borderId="0" xfId="0" applyFont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9" fillId="0" borderId="0" xfId="0" applyFont="1" applyFill="1" applyProtection="1"/>
    <xf numFmtId="0" fontId="39" fillId="0" borderId="28" xfId="0" applyFont="1" applyFill="1" applyBorder="1" applyAlignment="1" applyProtection="1">
      <alignment horizontal="center"/>
    </xf>
    <xf numFmtId="169" fontId="7" fillId="0" borderId="29" xfId="549" applyFont="1" applyBorder="1" applyAlignment="1" applyProtection="1">
      <alignment horizontal="center"/>
    </xf>
    <xf numFmtId="169" fontId="7" fillId="0" borderId="29" xfId="549" quotePrefix="1" applyFont="1" applyBorder="1" applyAlignment="1" applyProtection="1">
      <alignment horizontal="center"/>
    </xf>
    <xf numFmtId="3" fontId="7" fillId="0" borderId="30" xfId="549" applyNumberFormat="1" applyFont="1" applyBorder="1" applyAlignment="1" applyProtection="1">
      <alignment horizontal="center"/>
    </xf>
    <xf numFmtId="0" fontId="55" fillId="0" borderId="24" xfId="0" applyFont="1" applyBorder="1" applyProtection="1"/>
    <xf numFmtId="170" fontId="7" fillId="0" borderId="13" xfId="117" quotePrefix="1" applyNumberFormat="1" applyFont="1" applyBorder="1" applyAlignment="1" applyProtection="1">
      <alignment horizontal="right"/>
    </xf>
    <xf numFmtId="170" fontId="39" fillId="0" borderId="0" xfId="117" applyNumberFormat="1" applyFont="1" applyBorder="1" applyProtection="1"/>
    <xf numFmtId="170" fontId="7" fillId="0" borderId="14" xfId="0" applyNumberFormat="1" applyFont="1" applyBorder="1" applyProtection="1"/>
    <xf numFmtId="0" fontId="57" fillId="0" borderId="31" xfId="117" applyNumberFormat="1" applyFont="1" applyFill="1" applyBorder="1" applyAlignment="1" applyProtection="1">
      <alignment horizontal="left"/>
    </xf>
    <xf numFmtId="170" fontId="7" fillId="0" borderId="32" xfId="117" quotePrefix="1" applyNumberFormat="1" applyFont="1" applyBorder="1" applyAlignment="1" applyProtection="1">
      <alignment horizontal="right"/>
    </xf>
    <xf numFmtId="170" fontId="39" fillId="0" borderId="11" xfId="117" applyNumberFormat="1" applyFont="1" applyBorder="1" applyProtection="1"/>
    <xf numFmtId="170" fontId="7" fillId="0" borderId="20" xfId="0" applyNumberFormat="1" applyFont="1" applyBorder="1" applyProtection="1"/>
    <xf numFmtId="0" fontId="52" fillId="0" borderId="0" xfId="0" applyFont="1" applyAlignment="1" applyProtection="1">
      <alignment horizontal="left"/>
    </xf>
    <xf numFmtId="170" fontId="55" fillId="0" borderId="26" xfId="117" applyNumberFormat="1" applyFont="1" applyBorder="1" applyProtection="1"/>
    <xf numFmtId="0" fontId="7" fillId="0" borderId="15" xfId="0" quotePrefix="1" applyFont="1" applyBorder="1" applyAlignment="1" applyProtection="1">
      <alignment horizontal="right"/>
    </xf>
    <xf numFmtId="170" fontId="39" fillId="0" borderId="6" xfId="117" applyNumberFormat="1" applyFont="1" applyFill="1" applyBorder="1" applyAlignment="1" applyProtection="1">
      <alignment horizontal="left"/>
    </xf>
    <xf numFmtId="170" fontId="39" fillId="0" borderId="16" xfId="117" applyNumberFormat="1" applyFont="1" applyFill="1" applyBorder="1" applyAlignment="1" applyProtection="1">
      <alignment horizontal="left"/>
    </xf>
    <xf numFmtId="170" fontId="55" fillId="0" borderId="0" xfId="0" applyNumberFormat="1" applyFont="1" applyAlignment="1" applyProtection="1">
      <alignment horizontal="left"/>
    </xf>
    <xf numFmtId="0" fontId="7" fillId="0" borderId="21" xfId="0" applyFont="1" applyFill="1" applyBorder="1" applyAlignment="1" applyProtection="1">
      <alignment horizontal="center"/>
    </xf>
    <xf numFmtId="0" fontId="39" fillId="0" borderId="22" xfId="0" applyFont="1" applyFill="1" applyBorder="1" applyAlignment="1" applyProtection="1"/>
    <xf numFmtId="0" fontId="0" fillId="0" borderId="22" xfId="0" applyBorder="1" applyAlignment="1" applyProtection="1"/>
    <xf numFmtId="0" fontId="0" fillId="0" borderId="23" xfId="0" applyBorder="1" applyAlignment="1" applyProtection="1"/>
    <xf numFmtId="0" fontId="0" fillId="0" borderId="0" xfId="0" applyFill="1" applyBorder="1" applyAlignment="1" applyProtection="1"/>
    <xf numFmtId="0" fontId="7" fillId="0" borderId="14" xfId="0" applyFont="1" applyFill="1" applyBorder="1" applyAlignment="1" applyProtection="1">
      <alignment horizontal="right"/>
    </xf>
    <xf numFmtId="170" fontId="7" fillId="0" borderId="14" xfId="117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>
      <alignment horizontal="right"/>
    </xf>
    <xf numFmtId="0" fontId="7" fillId="0" borderId="15" xfId="0" applyFont="1" applyBorder="1" applyProtection="1"/>
    <xf numFmtId="0" fontId="7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39" fillId="0" borderId="24" xfId="0" applyFont="1" applyBorder="1" applyAlignment="1" applyProtection="1">
      <alignment horizontal="center" wrapText="1"/>
    </xf>
    <xf numFmtId="170" fontId="39" fillId="0" borderId="0" xfId="117" applyNumberFormat="1" applyFont="1" applyBorder="1" applyAlignment="1" applyProtection="1">
      <alignment horizontal="center" wrapText="1"/>
    </xf>
    <xf numFmtId="170" fontId="39" fillId="27" borderId="24" xfId="117" quotePrefix="1" applyNumberFormat="1" applyFont="1" applyFill="1" applyBorder="1" applyAlignment="1" applyProtection="1">
      <alignment horizontal="center" wrapText="1"/>
    </xf>
    <xf numFmtId="0" fontId="39" fillId="0" borderId="25" xfId="0" applyFont="1" applyBorder="1" applyAlignment="1" applyProtection="1">
      <alignment horizontal="center" wrapText="1"/>
    </xf>
    <xf numFmtId="0" fontId="39" fillId="0" borderId="6" xfId="0" applyFont="1" applyBorder="1" applyAlignment="1" applyProtection="1">
      <alignment horizontal="center"/>
    </xf>
    <xf numFmtId="170" fontId="39" fillId="27" borderId="26" xfId="117" applyNumberFormat="1" applyFont="1" applyFill="1" applyBorder="1" applyAlignment="1" applyProtection="1">
      <alignment horizontal="center"/>
    </xf>
    <xf numFmtId="170" fontId="54" fillId="27" borderId="24" xfId="0" applyNumberFormat="1" applyFont="1" applyFill="1" applyBorder="1" applyProtection="1"/>
    <xf numFmtId="168" fontId="54" fillId="27" borderId="25" xfId="117" applyNumberFormat="1" applyFont="1" applyFill="1" applyBorder="1" applyProtection="1"/>
    <xf numFmtId="168" fontId="54" fillId="27" borderId="14" xfId="117" applyNumberFormat="1" applyFont="1" applyFill="1" applyBorder="1" applyProtection="1"/>
    <xf numFmtId="171" fontId="54" fillId="29" borderId="25" xfId="0" applyNumberFormat="1" applyFont="1" applyFill="1" applyBorder="1" applyProtection="1"/>
    <xf numFmtId="171" fontId="7" fillId="29" borderId="25" xfId="0" applyNumberFormat="1" applyFont="1" applyFill="1" applyBorder="1" applyProtection="1"/>
    <xf numFmtId="170" fontId="7" fillId="0" borderId="14" xfId="117" applyNumberFormat="1" applyFont="1" applyFill="1" applyBorder="1" applyProtection="1"/>
    <xf numFmtId="170" fontId="7" fillId="0" borderId="6" xfId="0" applyNumberFormat="1" applyFont="1" applyBorder="1" applyProtection="1"/>
    <xf numFmtId="170" fontId="7" fillId="0" borderId="26" xfId="117" applyNumberFormat="1" applyFont="1" applyBorder="1" applyProtection="1"/>
    <xf numFmtId="170" fontId="7" fillId="0" borderId="16" xfId="117" applyNumberFormat="1" applyFont="1" applyFill="1" applyBorder="1" applyProtection="1"/>
    <xf numFmtId="0" fontId="55" fillId="0" borderId="0" xfId="0" applyFont="1" applyProtection="1"/>
    <xf numFmtId="0" fontId="58" fillId="0" borderId="0" xfId="0" applyFont="1" applyFill="1" applyProtection="1"/>
    <xf numFmtId="0" fontId="46" fillId="0" borderId="0" xfId="0" applyFont="1" applyAlignment="1" applyProtection="1">
      <alignment horizontal="center"/>
    </xf>
    <xf numFmtId="0" fontId="68" fillId="0" borderId="0" xfId="0" applyFont="1" applyProtection="1"/>
    <xf numFmtId="171" fontId="7" fillId="0" borderId="25" xfId="0" applyNumberFormat="1" applyFont="1" applyFill="1" applyBorder="1" applyProtection="1"/>
    <xf numFmtId="175" fontId="5" fillId="0" borderId="14" xfId="0" applyNumberFormat="1" applyFont="1" applyBorder="1" applyProtection="1"/>
    <xf numFmtId="176" fontId="7" fillId="0" borderId="14" xfId="117" applyNumberFormat="1" applyFont="1" applyBorder="1" applyProtection="1"/>
    <xf numFmtId="171" fontId="46" fillId="0" borderId="0" xfId="0" quotePrefix="1" applyNumberFormat="1" applyFont="1" applyBorder="1" applyAlignment="1" applyProtection="1">
      <alignment horizontal="center"/>
    </xf>
    <xf numFmtId="171" fontId="54" fillId="0" borderId="24" xfId="0" applyNumberFormat="1" applyFont="1" applyFill="1" applyBorder="1" applyProtection="1"/>
    <xf numFmtId="0" fontId="50" fillId="0" borderId="0" xfId="0" applyFont="1" applyProtection="1"/>
    <xf numFmtId="43" fontId="0" fillId="0" borderId="0" xfId="117" applyFont="1" applyProtection="1"/>
    <xf numFmtId="170" fontId="39" fillId="0" borderId="25" xfId="117" applyNumberFormat="1" applyFont="1" applyBorder="1" applyAlignment="1" applyProtection="1">
      <alignment horizontal="center"/>
    </xf>
    <xf numFmtId="170" fontId="54" fillId="27" borderId="0" xfId="0" quotePrefix="1" applyNumberFormat="1" applyFont="1" applyFill="1" applyBorder="1" applyAlignment="1" applyProtection="1">
      <alignment horizontal="left"/>
    </xf>
    <xf numFmtId="171" fontId="7" fillId="0" borderId="19" xfId="0" applyNumberFormat="1" applyFont="1" applyBorder="1" applyProtection="1"/>
    <xf numFmtId="0" fontId="39" fillId="0" borderId="13" xfId="0" applyFont="1" applyFill="1" applyBorder="1" applyAlignment="1" applyProtection="1">
      <alignment horizontal="center"/>
    </xf>
    <xf numFmtId="170" fontId="64" fillId="27" borderId="25" xfId="117" applyNumberFormat="1" applyFont="1" applyFill="1" applyBorder="1" applyProtection="1"/>
    <xf numFmtId="171" fontId="7" fillId="0" borderId="24" xfId="0" applyNumberFormat="1" applyFont="1" applyFill="1" applyBorder="1" applyProtection="1"/>
    <xf numFmtId="0" fontId="55" fillId="0" borderId="0" xfId="0" quotePrefix="1" applyFont="1" applyAlignment="1" applyProtection="1">
      <alignment horizontal="left"/>
    </xf>
    <xf numFmtId="0" fontId="52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0" xfId="0" applyFont="1" applyFill="1" applyAlignment="1" applyProtection="1">
      <alignment horizontal="center"/>
    </xf>
    <xf numFmtId="171" fontId="54" fillId="29" borderId="24" xfId="0" applyNumberFormat="1" applyFont="1" applyFill="1" applyBorder="1" applyProtection="1"/>
    <xf numFmtId="171" fontId="7" fillId="29" borderId="24" xfId="0" applyNumberFormat="1" applyFont="1" applyFill="1" applyBorder="1" applyProtection="1"/>
    <xf numFmtId="0" fontId="84" fillId="0" borderId="0" xfId="549" applyNumberFormat="1" applyFont="1" applyFill="1" applyBorder="1" applyAlignment="1" applyProtection="1"/>
    <xf numFmtId="0" fontId="83" fillId="0" borderId="0" xfId="0" applyFont="1" applyAlignment="1" applyProtection="1">
      <alignment horizontal="left"/>
    </xf>
    <xf numFmtId="0" fontId="83" fillId="0" borderId="0" xfId="549" applyNumberFormat="1" applyFont="1" applyFill="1" applyBorder="1" applyAlignment="1" applyProtection="1"/>
    <xf numFmtId="0" fontId="61" fillId="28" borderId="22" xfId="0" quotePrefix="1" applyFont="1" applyFill="1" applyBorder="1" applyAlignment="1" applyProtection="1">
      <alignment horizontal="center"/>
    </xf>
    <xf numFmtId="170" fontId="54" fillId="27" borderId="13" xfId="0" applyNumberFormat="1" applyFont="1" applyFill="1" applyBorder="1" applyProtection="1"/>
    <xf numFmtId="171" fontId="7" fillId="0" borderId="13" xfId="0" applyNumberFormat="1" applyFont="1" applyBorder="1" applyProtection="1"/>
    <xf numFmtId="171" fontId="7" fillId="29" borderId="0" xfId="0" applyNumberFormat="1" applyFont="1" applyFill="1" applyBorder="1" applyProtection="1"/>
    <xf numFmtId="170" fontId="7" fillId="0" borderId="15" xfId="0" applyNumberFormat="1" applyFont="1" applyBorder="1" applyProtection="1"/>
    <xf numFmtId="0" fontId="7" fillId="0" borderId="22" xfId="0" applyFont="1" applyFill="1" applyBorder="1" applyAlignment="1" applyProtection="1">
      <alignment horizontal="left"/>
    </xf>
    <xf numFmtId="170" fontId="82" fillId="27" borderId="0" xfId="0" applyNumberFormat="1" applyFont="1" applyFill="1" applyBorder="1" applyProtection="1"/>
    <xf numFmtId="170" fontId="82" fillId="27" borderId="25" xfId="117" applyNumberFormat="1" applyFont="1" applyFill="1" applyBorder="1" applyProtection="1"/>
    <xf numFmtId="170" fontId="82" fillId="27" borderId="25" xfId="0" applyNumberFormat="1" applyFont="1" applyFill="1" applyBorder="1" applyProtection="1"/>
    <xf numFmtId="170" fontId="82" fillId="27" borderId="24" xfId="0" applyNumberFormat="1" applyFont="1" applyFill="1" applyBorder="1" applyProtection="1"/>
    <xf numFmtId="168" fontId="82" fillId="27" borderId="25" xfId="117" applyNumberFormat="1" applyFont="1" applyFill="1" applyBorder="1" applyProtection="1"/>
    <xf numFmtId="168" fontId="82" fillId="27" borderId="14" xfId="117" applyNumberFormat="1" applyFont="1" applyFill="1" applyBorder="1" applyProtection="1"/>
    <xf numFmtId="170" fontId="85" fillId="27" borderId="0" xfId="0" applyNumberFormat="1" applyFont="1" applyFill="1" applyBorder="1" applyProtection="1"/>
    <xf numFmtId="170" fontId="85" fillId="27" borderId="25" xfId="117" applyNumberFormat="1" applyFont="1" applyFill="1" applyBorder="1" applyProtection="1"/>
    <xf numFmtId="170" fontId="85" fillId="27" borderId="25" xfId="0" applyNumberFormat="1" applyFont="1" applyFill="1" applyBorder="1" applyProtection="1"/>
    <xf numFmtId="170" fontId="85" fillId="27" borderId="14" xfId="117" applyNumberFormat="1" applyFont="1" applyFill="1" applyBorder="1" applyProtection="1"/>
    <xf numFmtId="170" fontId="54" fillId="27" borderId="14" xfId="0" applyNumberFormat="1" applyFont="1" applyFill="1" applyBorder="1" applyProtection="1"/>
    <xf numFmtId="171" fontId="7" fillId="0" borderId="18" xfId="0" applyNumberFormat="1" applyFont="1" applyFill="1" applyBorder="1" applyProtection="1"/>
    <xf numFmtId="0" fontId="0" fillId="0" borderId="24" xfId="0" applyBorder="1" applyAlignment="1" applyProtection="1">
      <alignment horizontal="center"/>
    </xf>
    <xf numFmtId="43" fontId="77" fillId="27" borderId="24" xfId="117" applyFont="1" applyFill="1" applyBorder="1" applyAlignment="1" applyProtection="1">
      <alignment horizontal="right"/>
    </xf>
    <xf numFmtId="43" fontId="77" fillId="27" borderId="24" xfId="117" applyFont="1" applyFill="1" applyBorder="1" applyProtection="1"/>
    <xf numFmtId="43" fontId="1" fillId="27" borderId="24" xfId="117" applyFill="1" applyBorder="1" applyProtection="1"/>
    <xf numFmtId="43" fontId="0" fillId="0" borderId="24" xfId="117" applyFont="1" applyBorder="1" applyProtection="1"/>
    <xf numFmtId="43" fontId="77" fillId="27" borderId="25" xfId="117" applyFont="1" applyFill="1" applyBorder="1" applyAlignment="1" applyProtection="1">
      <alignment horizontal="center"/>
    </xf>
    <xf numFmtId="43" fontId="77" fillId="27" borderId="25" xfId="117" applyFont="1" applyFill="1" applyBorder="1" applyProtection="1"/>
    <xf numFmtId="43" fontId="1" fillId="27" borderId="25" xfId="117" applyFill="1" applyBorder="1" applyProtection="1"/>
    <xf numFmtId="43" fontId="0" fillId="0" borderId="25" xfId="117" applyFont="1" applyBorder="1" applyProtection="1"/>
    <xf numFmtId="0" fontId="52" fillId="27" borderId="0" xfId="0" applyFont="1" applyFill="1" applyAlignment="1" applyProtection="1">
      <alignment horizontal="left"/>
    </xf>
    <xf numFmtId="0" fontId="7" fillId="27" borderId="0" xfId="0" applyFont="1" applyFill="1" applyProtection="1"/>
    <xf numFmtId="170" fontId="82" fillId="27" borderId="24" xfId="117" applyNumberFormat="1" applyFont="1" applyFill="1" applyBorder="1" applyProtection="1"/>
    <xf numFmtId="170" fontId="82" fillId="27" borderId="14" xfId="117" applyNumberFormat="1" applyFont="1" applyFill="1" applyBorder="1" applyProtection="1"/>
    <xf numFmtId="171" fontId="7" fillId="0" borderId="0" xfId="0" applyNumberFormat="1" applyFont="1" applyFill="1" applyBorder="1" applyProtection="1"/>
    <xf numFmtId="170" fontId="7" fillId="0" borderId="14" xfId="117" quotePrefix="1" applyNumberFormat="1" applyFont="1" applyFill="1" applyBorder="1" applyAlignment="1" applyProtection="1">
      <alignment horizontal="right"/>
    </xf>
    <xf numFmtId="170" fontId="85" fillId="27" borderId="24" xfId="0" applyNumberFormat="1" applyFont="1" applyFill="1" applyBorder="1" applyProtection="1"/>
    <xf numFmtId="168" fontId="85" fillId="27" borderId="25" xfId="117" applyNumberFormat="1" applyFont="1" applyFill="1" applyBorder="1" applyProtection="1"/>
    <xf numFmtId="168" fontId="85" fillId="27" borderId="14" xfId="117" applyNumberFormat="1" applyFont="1" applyFill="1" applyBorder="1" applyProtection="1"/>
    <xf numFmtId="170" fontId="85" fillId="27" borderId="24" xfId="117" applyNumberFormat="1" applyFont="1" applyFill="1" applyBorder="1" applyProtection="1"/>
    <xf numFmtId="170" fontId="85" fillId="27" borderId="14" xfId="117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0" fontId="7" fillId="0" borderId="0" xfId="0" applyNumberFormat="1" applyFont="1" applyAlignment="1" applyProtection="1">
      <alignment horizontal="left"/>
    </xf>
    <xf numFmtId="170" fontId="7" fillId="0" borderId="26" xfId="0" applyNumberFormat="1" applyFont="1" applyFill="1" applyBorder="1" applyProtection="1"/>
    <xf numFmtId="170" fontId="54" fillId="0" borderId="25" xfId="117" applyNumberFormat="1" applyFont="1" applyFill="1" applyBorder="1" applyProtection="1"/>
    <xf numFmtId="170" fontId="54" fillId="0" borderId="14" xfId="117" applyNumberFormat="1" applyFont="1" applyFill="1" applyBorder="1" applyProtection="1"/>
    <xf numFmtId="170" fontId="54" fillId="0" borderId="26" xfId="117" applyNumberFormat="1" applyFont="1" applyFill="1" applyBorder="1" applyProtection="1"/>
    <xf numFmtId="170" fontId="54" fillId="0" borderId="16" xfId="117" applyNumberFormat="1" applyFont="1" applyFill="1" applyBorder="1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4" fillId="27" borderId="0" xfId="0" applyFont="1" applyFill="1" applyAlignment="1">
      <alignment horizontal="left"/>
    </xf>
    <xf numFmtId="0" fontId="0" fillId="0" borderId="0" xfId="0" applyAlignment="1" applyProtection="1">
      <alignment vertical="center" wrapText="1"/>
    </xf>
    <xf numFmtId="170" fontId="122" fillId="0" borderId="0" xfId="117" applyNumberFormat="1" applyFont="1" applyFill="1" applyAlignment="1" applyProtection="1">
      <alignment vertical="center"/>
    </xf>
    <xf numFmtId="0" fontId="54" fillId="27" borderId="0" xfId="0" applyFont="1" applyFill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37" fontId="1" fillId="0" borderId="0" xfId="117" applyNumberFormat="1" applyFont="1" applyFill="1" applyAlignment="1" applyProtection="1">
      <alignment vertical="center"/>
    </xf>
    <xf numFmtId="37" fontId="1" fillId="0" borderId="0" xfId="117" applyNumberForma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7" fillId="0" borderId="0" xfId="0" quotePrefix="1" applyFont="1" applyAlignment="1" applyProtection="1">
      <alignment horizontal="left" vertical="center"/>
    </xf>
    <xf numFmtId="181" fontId="76" fillId="0" borderId="0" xfId="117" applyNumberFormat="1" applyFont="1" applyAlignment="1" applyProtection="1">
      <alignment vertical="center"/>
    </xf>
    <xf numFmtId="0" fontId="39" fillId="0" borderId="11" xfId="0" applyFont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wrapText="1"/>
    </xf>
    <xf numFmtId="169" fontId="7" fillId="0" borderId="17" xfId="549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0" fontId="7" fillId="0" borderId="19" xfId="0" applyFont="1" applyBorder="1" applyAlignment="1" applyProtection="1">
      <alignment wrapText="1"/>
    </xf>
    <xf numFmtId="0" fontId="7" fillId="0" borderId="13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46" fillId="0" borderId="0" xfId="0" applyNumberFormat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490" applyFont="1" applyBorder="1" applyAlignment="1" applyProtection="1">
      <alignment horizontal="center"/>
    </xf>
    <xf numFmtId="0" fontId="6" fillId="0" borderId="0" xfId="490" quotePrefix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6" fillId="0" borderId="0" xfId="0" applyFont="1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4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</cellXfs>
  <cellStyles count="735">
    <cellStyle name="20% - Accent1" xfId="1" builtinId="30" customBuiltin="1"/>
    <cellStyle name="20% - Accent1 2" xfId="2"/>
    <cellStyle name="20% - Accent1 2 2" xfId="3"/>
    <cellStyle name="20% - Accent2" xfId="4" builtinId="34" customBuiltin="1"/>
    <cellStyle name="20% - Accent2 2" xfId="5"/>
    <cellStyle name="20% - Accent2 2 2" xfId="6"/>
    <cellStyle name="20% - Accent3" xfId="7" builtinId="38" customBuiltin="1"/>
    <cellStyle name="20% - Accent3 2" xfId="8"/>
    <cellStyle name="20% - Accent3 2 2" xfId="9"/>
    <cellStyle name="20% - Accent4" xfId="10" builtinId="42" customBuiltin="1"/>
    <cellStyle name="20% - Accent4 2" xfId="11"/>
    <cellStyle name="20% - Accent4 2 2" xfId="12"/>
    <cellStyle name="20% - Accent5" xfId="13" builtinId="46" customBuiltin="1"/>
    <cellStyle name="20% - Accent5 2" xfId="14"/>
    <cellStyle name="20% - Accent5 2 2" xfId="15"/>
    <cellStyle name="20% - Accent6" xfId="16" builtinId="50" customBuiltin="1"/>
    <cellStyle name="20% - Accent6 2" xfId="17"/>
    <cellStyle name="20% - Accent6 2 2" xfId="18"/>
    <cellStyle name="40% - Accent1" xfId="19" builtinId="31" customBuiltin="1"/>
    <cellStyle name="40% - Accent1 2" xfId="20"/>
    <cellStyle name="40% - Accent1 2 2" xfId="21"/>
    <cellStyle name="40% - Accent2" xfId="22" builtinId="35" customBuiltin="1"/>
    <cellStyle name="40% - Accent2 2" xfId="23"/>
    <cellStyle name="40% - Accent2 2 2" xfId="24"/>
    <cellStyle name="40% - Accent3" xfId="25" builtinId="39" customBuiltin="1"/>
    <cellStyle name="40% - Accent3 2" xfId="26"/>
    <cellStyle name="40% - Accent3 2 2" xfId="27"/>
    <cellStyle name="40% - Accent4" xfId="28" builtinId="43" customBuiltin="1"/>
    <cellStyle name="40% - Accent4 2" xfId="29"/>
    <cellStyle name="40% - Accent4 2 2" xfId="30"/>
    <cellStyle name="40% - Accent5" xfId="31" builtinId="47" customBuiltin="1"/>
    <cellStyle name="40% - Accent5 2" xfId="32"/>
    <cellStyle name="40% - Accent5 2 2" xfId="33"/>
    <cellStyle name="40% - Accent6" xfId="34" builtinId="51" customBuiltin="1"/>
    <cellStyle name="40% - Accent6 2" xfId="35"/>
    <cellStyle name="40% - Accent6 2 2" xfId="36"/>
    <cellStyle name="60% - Accent1" xfId="37" builtinId="32" customBuiltin="1"/>
    <cellStyle name="60% - Accent1 2" xfId="38"/>
    <cellStyle name="60% - Accent1 2 2" xfId="39"/>
    <cellStyle name="60% - Accent2" xfId="40" builtinId="36" customBuiltin="1"/>
    <cellStyle name="60% - Accent2 2" xfId="41"/>
    <cellStyle name="60% - Accent2 2 2" xfId="42"/>
    <cellStyle name="60% - Accent3" xfId="43" builtinId="40" customBuiltin="1"/>
    <cellStyle name="60% - Accent3 2" xfId="44"/>
    <cellStyle name="60% - Accent3 2 2" xfId="45"/>
    <cellStyle name="60% - Accent4" xfId="46" builtinId="44" customBuiltin="1"/>
    <cellStyle name="60% - Accent4 2" xfId="47"/>
    <cellStyle name="60% - Accent4 2 2" xfId="48"/>
    <cellStyle name="60% - Accent5" xfId="49" builtinId="48" customBuiltin="1"/>
    <cellStyle name="60% - Accent5 2" xfId="50"/>
    <cellStyle name="60% - Accent5 2 2" xfId="51"/>
    <cellStyle name="60% - Accent6" xfId="52" builtinId="52" customBuiltin="1"/>
    <cellStyle name="60% - Accent6 2" xfId="53"/>
    <cellStyle name="60% - Accent6 2 2" xfId="54"/>
    <cellStyle name="Accent1" xfId="55" builtinId="29" customBuiltin="1"/>
    <cellStyle name="Accent1 2" xfId="56"/>
    <cellStyle name="Accent1 2 2" xfId="57"/>
    <cellStyle name="Accent2" xfId="58" builtinId="33" customBuiltin="1"/>
    <cellStyle name="Accent2 2" xfId="59"/>
    <cellStyle name="Accent2 2 2" xfId="60"/>
    <cellStyle name="Accent3" xfId="61" builtinId="37" customBuiltin="1"/>
    <cellStyle name="Accent3 2" xfId="62"/>
    <cellStyle name="Accent3 2 2" xfId="63"/>
    <cellStyle name="Accent4" xfId="64" builtinId="41" customBuiltin="1"/>
    <cellStyle name="Accent4 2" xfId="65"/>
    <cellStyle name="Accent4 2 2" xfId="66"/>
    <cellStyle name="Accent5" xfId="67" builtinId="45" customBuiltin="1"/>
    <cellStyle name="Accent5 2" xfId="68"/>
    <cellStyle name="Accent5 2 2" xfId="69"/>
    <cellStyle name="Accent6" xfId="70" builtinId="49" customBuiltin="1"/>
    <cellStyle name="Accent6 2" xfId="71"/>
    <cellStyle name="Accent6 2 2" xfId="72"/>
    <cellStyle name="Bad" xfId="73" builtinId="27" customBuiltin="1"/>
    <cellStyle name="Bad 2" xfId="74"/>
    <cellStyle name="Bad 2 2" xfId="75"/>
    <cellStyle name="C00A" xfId="76"/>
    <cellStyle name="C00B" xfId="77"/>
    <cellStyle name="C00L" xfId="78"/>
    <cellStyle name="C01A" xfId="79"/>
    <cellStyle name="C01B" xfId="80"/>
    <cellStyle name="C01B 2" xfId="81"/>
    <cellStyle name="C01H" xfId="82"/>
    <cellStyle name="C01L" xfId="83"/>
    <cellStyle name="C02A" xfId="84"/>
    <cellStyle name="C02B" xfId="85"/>
    <cellStyle name="C02B 2" xfId="86"/>
    <cellStyle name="C02H" xfId="87"/>
    <cellStyle name="C02L" xfId="88"/>
    <cellStyle name="C03A" xfId="89"/>
    <cellStyle name="C03B" xfId="90"/>
    <cellStyle name="C03H" xfId="91"/>
    <cellStyle name="C03L" xfId="92"/>
    <cellStyle name="C04A" xfId="93"/>
    <cellStyle name="C04A 2" xfId="94"/>
    <cellStyle name="C04B" xfId="95"/>
    <cellStyle name="C04H" xfId="96"/>
    <cellStyle name="C04L" xfId="97"/>
    <cellStyle name="C05A" xfId="98"/>
    <cellStyle name="C05B" xfId="99"/>
    <cellStyle name="C05H" xfId="100"/>
    <cellStyle name="C05L" xfId="101"/>
    <cellStyle name="C05L 2" xfId="102"/>
    <cellStyle name="C06A" xfId="103"/>
    <cellStyle name="C06B" xfId="104"/>
    <cellStyle name="C06H" xfId="105"/>
    <cellStyle name="C06L" xfId="106"/>
    <cellStyle name="C07A" xfId="107"/>
    <cellStyle name="C07B" xfId="108"/>
    <cellStyle name="C07H" xfId="109"/>
    <cellStyle name="C07L" xfId="110"/>
    <cellStyle name="Calculation" xfId="111" builtinId="22" customBuiltin="1"/>
    <cellStyle name="Calculation 2" xfId="112"/>
    <cellStyle name="Calculation 2 2" xfId="113"/>
    <cellStyle name="Check Cell" xfId="114" builtinId="23" customBuiltin="1"/>
    <cellStyle name="Check Cell 2" xfId="115"/>
    <cellStyle name="Check Cell 2 2" xfId="116"/>
    <cellStyle name="Comma" xfId="117" builtinId="3"/>
    <cellStyle name="Comma [0] 2" xfId="118"/>
    <cellStyle name="Comma [0] 2 2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 2 2" xfId="132"/>
    <cellStyle name="Comma 2 3" xfId="133"/>
    <cellStyle name="Comma 2 3 2" xfId="134"/>
    <cellStyle name="Comma 2 3 3" xfId="135"/>
    <cellStyle name="Comma 2 3 4" xfId="136"/>
    <cellStyle name="Comma 2 4" xfId="137"/>
    <cellStyle name="Comma 20" xfId="138"/>
    <cellStyle name="Comma 21" xfId="139"/>
    <cellStyle name="Comma 22" xfId="140"/>
    <cellStyle name="Comma 23" xfId="141"/>
    <cellStyle name="Comma 24" xfId="142"/>
    <cellStyle name="Comma 25" xfId="143"/>
    <cellStyle name="Comma 25 2" xfId="144"/>
    <cellStyle name="Comma 26" xfId="145"/>
    <cellStyle name="Comma 26 2" xfId="146"/>
    <cellStyle name="Comma 27" xfId="147"/>
    <cellStyle name="Comma 27 2" xfId="148"/>
    <cellStyle name="Comma 28" xfId="149"/>
    <cellStyle name="Comma 28 2" xfId="150"/>
    <cellStyle name="Comma 29" xfId="151"/>
    <cellStyle name="Comma 29 2" xfId="152"/>
    <cellStyle name="Comma 3" xfId="153"/>
    <cellStyle name="Comma 3 2" xfId="154"/>
    <cellStyle name="Comma 3 2 2" xfId="155"/>
    <cellStyle name="Comma 3 3" xfId="156"/>
    <cellStyle name="Comma 3 3 2" xfId="157"/>
    <cellStyle name="Comma 3 3 2 2" xfId="158"/>
    <cellStyle name="Comma 3 3 2 3" xfId="159"/>
    <cellStyle name="Comma 3 3 3" xfId="160"/>
    <cellStyle name="Comma 3 3 3 2" xfId="161"/>
    <cellStyle name="Comma 3 3 3 2 2" xfId="162"/>
    <cellStyle name="Comma 3 3 3 2 3" xfId="163"/>
    <cellStyle name="Comma 3 3 3 2 4" xfId="164"/>
    <cellStyle name="Comma 3 3 3 3" xfId="165"/>
    <cellStyle name="Comma 3 3 4" xfId="166"/>
    <cellStyle name="Comma 3 3 5" xfId="167"/>
    <cellStyle name="Comma 3 3 5 2" xfId="168"/>
    <cellStyle name="Comma 3 3 5 3" xfId="169"/>
    <cellStyle name="Comma 3 3 5 4" xfId="170"/>
    <cellStyle name="Comma 3 4" xfId="171"/>
    <cellStyle name="Comma 3 4 2" xfId="172"/>
    <cellStyle name="Comma 3 4 3" xfId="173"/>
    <cellStyle name="Comma 3 4 4" xfId="174"/>
    <cellStyle name="Comma 3 4 4 2" xfId="175"/>
    <cellStyle name="Comma 3 4 4 3" xfId="176"/>
    <cellStyle name="Comma 3 4 4 4" xfId="177"/>
    <cellStyle name="Comma 3 4 5" xfId="178"/>
    <cellStyle name="Comma 3 5" xfId="179"/>
    <cellStyle name="Comma 3 5 2" xfId="180"/>
    <cellStyle name="Comma 3 6" xfId="181"/>
    <cellStyle name="Comma 3 7" xfId="182"/>
    <cellStyle name="Comma 3 8" xfId="183"/>
    <cellStyle name="Comma 30" xfId="184"/>
    <cellStyle name="Comma 31" xfId="185"/>
    <cellStyle name="Comma 32" xfId="186"/>
    <cellStyle name="Comma 33" xfId="187"/>
    <cellStyle name="Comma 34" xfId="188"/>
    <cellStyle name="Comma 35" xfId="189"/>
    <cellStyle name="Comma 36" xfId="190"/>
    <cellStyle name="Comma 37" xfId="191"/>
    <cellStyle name="Comma 38" xfId="192"/>
    <cellStyle name="Comma 39" xfId="193"/>
    <cellStyle name="Comma 4" xfId="194"/>
    <cellStyle name="Comma 4 2" xfId="195"/>
    <cellStyle name="Comma 4 2 2" xfId="196"/>
    <cellStyle name="Comma 4 2 2 2" xfId="197"/>
    <cellStyle name="Comma 4 2 2 3" xfId="198"/>
    <cellStyle name="Comma 4 2 2 4" xfId="199"/>
    <cellStyle name="Comma 4 2 3" xfId="200"/>
    <cellStyle name="Comma 4 2 3 2" xfId="201"/>
    <cellStyle name="Comma 4 2 3 2 2" xfId="202"/>
    <cellStyle name="Comma 4 2 3 3" xfId="203"/>
    <cellStyle name="Comma 4 2 3 3 2" xfId="204"/>
    <cellStyle name="Comma 4 2 3 4" xfId="205"/>
    <cellStyle name="Comma 4 2 4" xfId="206"/>
    <cellStyle name="Comma 4 2 4 2" xfId="207"/>
    <cellStyle name="Comma 4 2 4 3" xfId="208"/>
    <cellStyle name="Comma 4 2 4 4" xfId="209"/>
    <cellStyle name="Comma 4 2 5" xfId="210"/>
    <cellStyle name="Comma 4 3" xfId="211"/>
    <cellStyle name="Comma 4 3 2" xfId="212"/>
    <cellStyle name="Comma 4 3 2 2" xfId="213"/>
    <cellStyle name="Comma 4 3 2 2 2" xfId="214"/>
    <cellStyle name="Comma 4 3 2 3" xfId="215"/>
    <cellStyle name="Comma 4 3 2 3 2" xfId="216"/>
    <cellStyle name="Comma 4 3 2 4" xfId="217"/>
    <cellStyle name="Comma 4 3 3" xfId="218"/>
    <cellStyle name="Comma 4 3 4" xfId="219"/>
    <cellStyle name="Comma 4 3 4 2" xfId="220"/>
    <cellStyle name="Comma 4 3 4 3" xfId="221"/>
    <cellStyle name="Comma 4 3 5" xfId="222"/>
    <cellStyle name="Comma 4 3 5 2" xfId="223"/>
    <cellStyle name="Comma 4 3 6" xfId="224"/>
    <cellStyle name="Comma 4 3 6 2" xfId="225"/>
    <cellStyle name="Comma 4 4" xfId="226"/>
    <cellStyle name="Comma 4 4 2" xfId="227"/>
    <cellStyle name="Comma 4 4 3" xfId="228"/>
    <cellStyle name="Comma 4 4 4" xfId="229"/>
    <cellStyle name="Comma 4 5" xfId="230"/>
    <cellStyle name="Comma 4 5 2" xfId="231"/>
    <cellStyle name="Comma 4 6" xfId="232"/>
    <cellStyle name="Comma 40" xfId="233"/>
    <cellStyle name="Comma 41" xfId="234"/>
    <cellStyle name="Comma 42" xfId="235"/>
    <cellStyle name="Comma 43" xfId="236"/>
    <cellStyle name="Comma 44" xfId="237"/>
    <cellStyle name="Comma 45" xfId="238"/>
    <cellStyle name="Comma 46" xfId="239"/>
    <cellStyle name="Comma 47" xfId="240"/>
    <cellStyle name="Comma 48" xfId="241"/>
    <cellStyle name="Comma 49" xfId="242"/>
    <cellStyle name="Comma 5" xfId="243"/>
    <cellStyle name="Comma 5 2" xfId="244"/>
    <cellStyle name="Comma 5 2 2" xfId="245"/>
    <cellStyle name="Comma 5 2 3" xfId="246"/>
    <cellStyle name="Comma 5 3" xfId="247"/>
    <cellStyle name="Comma 50" xfId="248"/>
    <cellStyle name="Comma 51" xfId="249"/>
    <cellStyle name="Comma 52" xfId="250"/>
    <cellStyle name="Comma 52 2" xfId="251"/>
    <cellStyle name="Comma 53" xfId="252"/>
    <cellStyle name="Comma 54" xfId="253"/>
    <cellStyle name="Comma 55" xfId="254"/>
    <cellStyle name="Comma 56" xfId="255"/>
    <cellStyle name="Comma 57" xfId="256"/>
    <cellStyle name="Comma 57 2" xfId="257"/>
    <cellStyle name="Comma 57 3" xfId="258"/>
    <cellStyle name="Comma 57 4" xfId="259"/>
    <cellStyle name="Comma 58" xfId="260"/>
    <cellStyle name="Comma 58 2" xfId="261"/>
    <cellStyle name="Comma 58 3" xfId="262"/>
    <cellStyle name="Comma 58 4" xfId="263"/>
    <cellStyle name="Comma 59" xfId="264"/>
    <cellStyle name="Comma 59 2" xfId="265"/>
    <cellStyle name="Comma 59 3" xfId="266"/>
    <cellStyle name="Comma 59 4" xfId="267"/>
    <cellStyle name="Comma 6" xfId="268"/>
    <cellStyle name="Comma 6 2" xfId="269"/>
    <cellStyle name="Comma 6 3" xfId="270"/>
    <cellStyle name="Comma 6 4" xfId="271"/>
    <cellStyle name="Comma 6 4 2" xfId="272"/>
    <cellStyle name="Comma 6 4 3" xfId="273"/>
    <cellStyle name="Comma 6 4 4" xfId="274"/>
    <cellStyle name="Comma 6 5" xfId="275"/>
    <cellStyle name="Comma 60" xfId="276"/>
    <cellStyle name="Comma 60 2" xfId="277"/>
    <cellStyle name="Comma 60 3" xfId="278"/>
    <cellStyle name="Comma 60 4" xfId="279"/>
    <cellStyle name="Comma 61" xfId="280"/>
    <cellStyle name="Comma 61 2" xfId="281"/>
    <cellStyle name="Comma 61 3" xfId="282"/>
    <cellStyle name="Comma 61 4" xfId="283"/>
    <cellStyle name="Comma 62" xfId="284"/>
    <cellStyle name="Comma 62 2" xfId="285"/>
    <cellStyle name="Comma 62 3" xfId="286"/>
    <cellStyle name="Comma 63" xfId="287"/>
    <cellStyle name="Comma 63 2" xfId="288"/>
    <cellStyle name="Comma 63 3" xfId="289"/>
    <cellStyle name="Comma 64" xfId="290"/>
    <cellStyle name="Comma 64 2" xfId="291"/>
    <cellStyle name="Comma 64 3" xfId="292"/>
    <cellStyle name="Comma 65" xfId="293"/>
    <cellStyle name="Comma 65 2" xfId="294"/>
    <cellStyle name="Comma 65 3" xfId="295"/>
    <cellStyle name="Comma 66" xfId="296"/>
    <cellStyle name="Comma 66 2" xfId="297"/>
    <cellStyle name="Comma 66 3" xfId="298"/>
    <cellStyle name="Comma 67" xfId="299"/>
    <cellStyle name="Comma 67 2" xfId="300"/>
    <cellStyle name="Comma 67 3" xfId="301"/>
    <cellStyle name="Comma 68" xfId="302"/>
    <cellStyle name="Comma 68 2" xfId="303"/>
    <cellStyle name="Comma 68 3" xfId="304"/>
    <cellStyle name="Comma 69" xfId="305"/>
    <cellStyle name="Comma 69 2" xfId="306"/>
    <cellStyle name="Comma 7" xfId="307"/>
    <cellStyle name="Comma 7 2" xfId="308"/>
    <cellStyle name="Comma 70" xfId="309"/>
    <cellStyle name="Comma 70 2" xfId="310"/>
    <cellStyle name="Comma 71" xfId="311"/>
    <cellStyle name="Comma 71 2" xfId="312"/>
    <cellStyle name="Comma 72" xfId="313"/>
    <cellStyle name="Comma 73" xfId="314"/>
    <cellStyle name="Comma 74" xfId="315"/>
    <cellStyle name="Comma 75" xfId="316"/>
    <cellStyle name="Comma 76" xfId="317"/>
    <cellStyle name="Comma 8" xfId="318"/>
    <cellStyle name="Comma 9" xfId="319"/>
    <cellStyle name="Comma0" xfId="320"/>
    <cellStyle name="Comma0 2" xfId="321"/>
    <cellStyle name="Comma0 2 2" xfId="322"/>
    <cellStyle name="Comma0 2 3" xfId="323"/>
    <cellStyle name="Comma0 2 4" xfId="324"/>
    <cellStyle name="Comma0 2 5" xfId="325"/>
    <cellStyle name="Comma0 3" xfId="326"/>
    <cellStyle name="Currency" xfId="327" builtinId="4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 3 2 2" xfId="334"/>
    <cellStyle name="Currency 3 3" xfId="335"/>
    <cellStyle name="Currency 3 3 2" xfId="336"/>
    <cellStyle name="Currency 3 3 2 2" xfId="337"/>
    <cellStyle name="Currency 3 3 2 3" xfId="338"/>
    <cellStyle name="Currency 3 3 3" xfId="339"/>
    <cellStyle name="Currency 3 3 3 2" xfId="340"/>
    <cellStyle name="Currency 3 3 3 2 2" xfId="341"/>
    <cellStyle name="Currency 3 3 3 2 3" xfId="342"/>
    <cellStyle name="Currency 3 3 3 2 4" xfId="343"/>
    <cellStyle name="Currency 3 3 3 3" xfId="344"/>
    <cellStyle name="Currency 3 3 4" xfId="345"/>
    <cellStyle name="Currency 3 3 5" xfId="346"/>
    <cellStyle name="Currency 3 3 5 2" xfId="347"/>
    <cellStyle name="Currency 3 3 5 3" xfId="348"/>
    <cellStyle name="Currency 3 3 5 4" xfId="349"/>
    <cellStyle name="Currency 3 4" xfId="350"/>
    <cellStyle name="Currency 3 4 2" xfId="351"/>
    <cellStyle name="Currency 3 4 3" xfId="352"/>
    <cellStyle name="Currency 3 4 4" xfId="353"/>
    <cellStyle name="Currency 3 4 4 2" xfId="354"/>
    <cellStyle name="Currency 3 4 4 3" xfId="355"/>
    <cellStyle name="Currency 3 4 4 4" xfId="356"/>
    <cellStyle name="Currency 3 4 5" xfId="357"/>
    <cellStyle name="Currency 3 5" xfId="358"/>
    <cellStyle name="Currency 3 5 2" xfId="359"/>
    <cellStyle name="Currency 3 6" xfId="360"/>
    <cellStyle name="Currency 3 7" xfId="361"/>
    <cellStyle name="Currency 3 8" xfId="362"/>
    <cellStyle name="Currency 4" xfId="363"/>
    <cellStyle name="Currency 4 10" xfId="364"/>
    <cellStyle name="Currency 4 10 2" xfId="365"/>
    <cellStyle name="Currency 4 10 2 2" xfId="366"/>
    <cellStyle name="Currency 4 10 2 2 2" xfId="367"/>
    <cellStyle name="Currency 4 10 2 3" xfId="368"/>
    <cellStyle name="Currency 4 10 2 3 2" xfId="369"/>
    <cellStyle name="Currency 4 10 2 4" xfId="370"/>
    <cellStyle name="Currency 4 10 3" xfId="371"/>
    <cellStyle name="Currency 4 10 3 2" xfId="372"/>
    <cellStyle name="Currency 4 10 4" xfId="373"/>
    <cellStyle name="Currency 4 10 4 2" xfId="374"/>
    <cellStyle name="Currency 4 10 4 3" xfId="375"/>
    <cellStyle name="Currency 4 10 5" xfId="376"/>
    <cellStyle name="Currency 4 10 5 2" xfId="377"/>
    <cellStyle name="Currency 4 2" xfId="378"/>
    <cellStyle name="Currency 4 2 2" xfId="379"/>
    <cellStyle name="Currency 4 2 3" xfId="380"/>
    <cellStyle name="Currency 4 3" xfId="381"/>
    <cellStyle name="Currency 4 3 2" xfId="382"/>
    <cellStyle name="Currency 4 3 2 2" xfId="383"/>
    <cellStyle name="Currency 4 3 2 3" xfId="384"/>
    <cellStyle name="Currency 4 3 2 4" xfId="385"/>
    <cellStyle name="Currency 4 3 3" xfId="386"/>
    <cellStyle name="Currency 4 4" xfId="387"/>
    <cellStyle name="Currency 4 5" xfId="388"/>
    <cellStyle name="Currency 4 5 2" xfId="389"/>
    <cellStyle name="Currency 4 5 3" xfId="390"/>
    <cellStyle name="Currency 4 5 4" xfId="391"/>
    <cellStyle name="Currency 5" xfId="392"/>
    <cellStyle name="Currency 5 2" xfId="393"/>
    <cellStyle name="Currency 5 3" xfId="394"/>
    <cellStyle name="Currency 5 4" xfId="395"/>
    <cellStyle name="Currency 5 4 2" xfId="396"/>
    <cellStyle name="Currency 5 4 3" xfId="397"/>
    <cellStyle name="Currency 5 4 4" xfId="398"/>
    <cellStyle name="Currency 5 5" xfId="399"/>
    <cellStyle name="Currency 6" xfId="400"/>
    <cellStyle name="Currency 6 2" xfId="401"/>
    <cellStyle name="Currency 6 3" xfId="402"/>
    <cellStyle name="Currency 6 3 2" xfId="403"/>
    <cellStyle name="Currency 6 3 3" xfId="404"/>
    <cellStyle name="Currency 6 3 4" xfId="405"/>
    <cellStyle name="Currency 7" xfId="406"/>
    <cellStyle name="Currency 8" xfId="407"/>
    <cellStyle name="Currency 9" xfId="408"/>
    <cellStyle name="Currency0" xfId="409"/>
    <cellStyle name="Currency0 2" xfId="410"/>
    <cellStyle name="Currency0 2 2" xfId="411"/>
    <cellStyle name="Currency0 2 3" xfId="412"/>
    <cellStyle name="Currency0 2 4" xfId="413"/>
    <cellStyle name="Currency0 2 5" xfId="414"/>
    <cellStyle name="Currency0 3" xfId="415"/>
    <cellStyle name="Date" xfId="416"/>
    <cellStyle name="Date 2" xfId="417"/>
    <cellStyle name="Date 2 2" xfId="418"/>
    <cellStyle name="Date 2 3" xfId="419"/>
    <cellStyle name="Date 2 4" xfId="420"/>
    <cellStyle name="Date 2 5" xfId="421"/>
    <cellStyle name="Date 3" xfId="422"/>
    <cellStyle name="Explanatory Text" xfId="423" builtinId="53" customBuiltin="1"/>
    <cellStyle name="Explanatory Text 2" xfId="424"/>
    <cellStyle name="Explanatory Text 2 2" xfId="425"/>
    <cellStyle name="Fixed" xfId="426"/>
    <cellStyle name="Fixed 2" xfId="427"/>
    <cellStyle name="Fixed 2 2" xfId="428"/>
    <cellStyle name="Fixed 2 3" xfId="429"/>
    <cellStyle name="Fixed 2 4" xfId="430"/>
    <cellStyle name="Fixed 2 5" xfId="431"/>
    <cellStyle name="Fixed 3" xfId="432"/>
    <cellStyle name="Good" xfId="433" builtinId="26" customBuiltin="1"/>
    <cellStyle name="Good 2" xfId="434"/>
    <cellStyle name="Good 2 2" xfId="435"/>
    <cellStyle name="Heading 1" xfId="436" builtinId="16" customBuiltin="1"/>
    <cellStyle name="Heading 1 2" xfId="437"/>
    <cellStyle name="Heading 1 2 2" xfId="438"/>
    <cellStyle name="Heading 1 3" xfId="439"/>
    <cellStyle name="Heading 1 3 2" xfId="440"/>
    <cellStyle name="Heading 2" xfId="441" builtinId="17" customBuiltin="1"/>
    <cellStyle name="Heading 2 2" xfId="442"/>
    <cellStyle name="Heading 2 2 2" xfId="443"/>
    <cellStyle name="Heading 2 3" xfId="444"/>
    <cellStyle name="Heading 2 3 2" xfId="445"/>
    <cellStyle name="Heading 3" xfId="446" builtinId="18" customBuiltin="1"/>
    <cellStyle name="Heading 3 2" xfId="447"/>
    <cellStyle name="Heading 3 2 2" xfId="448"/>
    <cellStyle name="Heading 4" xfId="449" builtinId="19" customBuiltin="1"/>
    <cellStyle name="Heading 4 2" xfId="450"/>
    <cellStyle name="Heading 4 2 2" xfId="451"/>
    <cellStyle name="Heading1" xfId="452"/>
    <cellStyle name="Heading2" xfId="453"/>
    <cellStyle name="Input" xfId="454" builtinId="20" customBuiltin="1"/>
    <cellStyle name="Input 2" xfId="455"/>
    <cellStyle name="Input 2 2" xfId="456"/>
    <cellStyle name="Linked Cell" xfId="457" builtinId="24" customBuiltin="1"/>
    <cellStyle name="Linked Cell 2" xfId="458"/>
    <cellStyle name="Linked Cell 2 2" xfId="459"/>
    <cellStyle name="M" xfId="460"/>
    <cellStyle name="M 2" xfId="461"/>
    <cellStyle name="M 2 2" xfId="462"/>
    <cellStyle name="M 2 2 2" xfId="463"/>
    <cellStyle name="M 3" xfId="464"/>
    <cellStyle name="M 3 2" xfId="465"/>
    <cellStyle name="M 3 2 2" xfId="466"/>
    <cellStyle name="M 4" xfId="467"/>
    <cellStyle name="M 5" xfId="468"/>
    <cellStyle name="M 5 2" xfId="469"/>
    <cellStyle name="M 6" xfId="470"/>
    <cellStyle name="M 6 2" xfId="471"/>
    <cellStyle name="M 7" xfId="472"/>
    <cellStyle name="Neutral" xfId="473" builtinId="28" customBuiltin="1"/>
    <cellStyle name="Neutral 2" xfId="474"/>
    <cellStyle name="Neutral 2 2" xfId="475"/>
    <cellStyle name="Normal" xfId="0" builtinId="0"/>
    <cellStyle name="Normal 10" xfId="476"/>
    <cellStyle name="Normal 10 2" xfId="477"/>
    <cellStyle name="Normal 11" xfId="478"/>
    <cellStyle name="Normal 11 2" xfId="479"/>
    <cellStyle name="Normal 11 3" xfId="480"/>
    <cellStyle name="Normal 12" xfId="481"/>
    <cellStyle name="Normal 12 2" xfId="482"/>
    <cellStyle name="Normal 12 3" xfId="483"/>
    <cellStyle name="Normal 2" xfId="484"/>
    <cellStyle name="Normal 2 2" xfId="485"/>
    <cellStyle name="Normal 2 2 2" xfId="486"/>
    <cellStyle name="Normal 2 2 3" xfId="487"/>
    <cellStyle name="Normal 2 2 4" xfId="488"/>
    <cellStyle name="Normal 3" xfId="489"/>
    <cellStyle name="Normal 3 2" xfId="490"/>
    <cellStyle name="Normal 3 2 2" xfId="491"/>
    <cellStyle name="Normal 3 3" xfId="492"/>
    <cellStyle name="Normal 3 3 2" xfId="493"/>
    <cellStyle name="Normal 3 3 3" xfId="494"/>
    <cellStyle name="Normal 3 3 4" xfId="495"/>
    <cellStyle name="Normal 3_OPCo Period I PJM  Formula Rate" xfId="496"/>
    <cellStyle name="Normal 35" xfId="497"/>
    <cellStyle name="Normal 4" xfId="498"/>
    <cellStyle name="Normal 4 2" xfId="499"/>
    <cellStyle name="Normal 4 2 2" xfId="500"/>
    <cellStyle name="Normal 4 3" xfId="501"/>
    <cellStyle name="Normal 4 3 2" xfId="502"/>
    <cellStyle name="Normal 4 3 2 2" xfId="503"/>
    <cellStyle name="Normal 4 3 2 3" xfId="504"/>
    <cellStyle name="Normal 4 3 3" xfId="505"/>
    <cellStyle name="Normal 4 3 3 2" xfId="506"/>
    <cellStyle name="Normal 4 3 3 2 2" xfId="507"/>
    <cellStyle name="Normal 4 3 3 2 3" xfId="508"/>
    <cellStyle name="Normal 4 3 3 2 4" xfId="509"/>
    <cellStyle name="Normal 4 3 3 3" xfId="510"/>
    <cellStyle name="Normal 4 3 4" xfId="511"/>
    <cellStyle name="Normal 4 3 5" xfId="512"/>
    <cellStyle name="Normal 4 3 5 2" xfId="513"/>
    <cellStyle name="Normal 4 3 5 3" xfId="514"/>
    <cellStyle name="Normal 4 3 5 4" xfId="515"/>
    <cellStyle name="Normal 4 4" xfId="516"/>
    <cellStyle name="Normal 4 4 2" xfId="517"/>
    <cellStyle name="Normal 4 4 3" xfId="518"/>
    <cellStyle name="Normal 4 4 4" xfId="519"/>
    <cellStyle name="Normal 4 4 4 2" xfId="520"/>
    <cellStyle name="Normal 4 4 4 3" xfId="521"/>
    <cellStyle name="Normal 4 4 4 4" xfId="522"/>
    <cellStyle name="Normal 4 4 5" xfId="523"/>
    <cellStyle name="Normal 4 5" xfId="524"/>
    <cellStyle name="Normal 4 5 2" xfId="525"/>
    <cellStyle name="Normal 4 5 2 2" xfId="526"/>
    <cellStyle name="Normal 4 5 2 2 2" xfId="527"/>
    <cellStyle name="Normal 4 5 2 2 3" xfId="528"/>
    <cellStyle name="Normal 4 5 2 2 4" xfId="529"/>
    <cellStyle name="Normal 4 5 3" xfId="530"/>
    <cellStyle name="Normal 4 6" xfId="531"/>
    <cellStyle name="Normal 4 7" xfId="532"/>
    <cellStyle name="Normal 4 8" xfId="533"/>
    <cellStyle name="Normal 4_PBOP Exhibit 1" xfId="534"/>
    <cellStyle name="Normal 5" xfId="535"/>
    <cellStyle name="Normal 5 2" xfId="536"/>
    <cellStyle name="Normal 5 2 2" xfId="537"/>
    <cellStyle name="Normal 5 2 3" xfId="538"/>
    <cellStyle name="Normal 5 2 4" xfId="539"/>
    <cellStyle name="Normal 6" xfId="540"/>
    <cellStyle name="Normal 6 2" xfId="541"/>
    <cellStyle name="Normal 7" xfId="542"/>
    <cellStyle name="Normal 7 2" xfId="543"/>
    <cellStyle name="Normal 7 3" xfId="544"/>
    <cellStyle name="Normal 8" xfId="545"/>
    <cellStyle name="Normal 8 2" xfId="546"/>
    <cellStyle name="Normal 9" xfId="547"/>
    <cellStyle name="Normal 9 2" xfId="548"/>
    <cellStyle name="Normal_FN1 Ratebase Draft SPP template (6-11-04) v2" xfId="549"/>
    <cellStyle name="Note" xfId="550" builtinId="10" customBuiltin="1"/>
    <cellStyle name="Note 2" xfId="551"/>
    <cellStyle name="Note 2 2" xfId="552"/>
    <cellStyle name="Note 2 2 2" xfId="553"/>
    <cellStyle name="Note 2 2 3" xfId="554"/>
    <cellStyle name="Note 2 2 4" xfId="555"/>
    <cellStyle name="Output" xfId="556" builtinId="21" customBuiltin="1"/>
    <cellStyle name="Output 2" xfId="557"/>
    <cellStyle name="Output 2 2" xfId="558"/>
    <cellStyle name="Percent" xfId="559" builtinId="5"/>
    <cellStyle name="Percent 10" xfId="560"/>
    <cellStyle name="Percent 2" xfId="561"/>
    <cellStyle name="Percent 2 2" xfId="562"/>
    <cellStyle name="Percent 2 2 2" xfId="563"/>
    <cellStyle name="Percent 2 3" xfId="564"/>
    <cellStyle name="Percent 3" xfId="565"/>
    <cellStyle name="Percent 3 2" xfId="566"/>
    <cellStyle name="Percent 3 2 2" xfId="567"/>
    <cellStyle name="Percent 3 3" xfId="568"/>
    <cellStyle name="Percent 3 3 2" xfId="569"/>
    <cellStyle name="Percent 3 3 2 2" xfId="570"/>
    <cellStyle name="Percent 3 3 2 3" xfId="571"/>
    <cellStyle name="Percent 3 3 3" xfId="572"/>
    <cellStyle name="Percent 3 3 3 2" xfId="573"/>
    <cellStyle name="Percent 3 3 3 2 2" xfId="574"/>
    <cellStyle name="Percent 3 3 3 2 3" xfId="575"/>
    <cellStyle name="Percent 3 3 3 2 4" xfId="576"/>
    <cellStyle name="Percent 3 3 3 3" xfId="577"/>
    <cellStyle name="Percent 3 3 4" xfId="578"/>
    <cellStyle name="Percent 3 3 5" xfId="579"/>
    <cellStyle name="Percent 3 3 5 2" xfId="580"/>
    <cellStyle name="Percent 3 3 5 3" xfId="581"/>
    <cellStyle name="Percent 3 3 5 4" xfId="582"/>
    <cellStyle name="Percent 3 4" xfId="583"/>
    <cellStyle name="Percent 3 4 2" xfId="584"/>
    <cellStyle name="Percent 3 4 3" xfId="585"/>
    <cellStyle name="Percent 3 4 4" xfId="586"/>
    <cellStyle name="Percent 3 4 4 2" xfId="587"/>
    <cellStyle name="Percent 3 4 4 3" xfId="588"/>
    <cellStyle name="Percent 3 4 4 4" xfId="589"/>
    <cellStyle name="Percent 3 4 5" xfId="590"/>
    <cellStyle name="Percent 3 5" xfId="591"/>
    <cellStyle name="Percent 3 5 2" xfId="592"/>
    <cellStyle name="Percent 3 6" xfId="593"/>
    <cellStyle name="Percent 3 7" xfId="594"/>
    <cellStyle name="Percent 3 8" xfId="595"/>
    <cellStyle name="Percent 4" xfId="596"/>
    <cellStyle name="Percent 4 2" xfId="597"/>
    <cellStyle name="Percent 4 2 2" xfId="598"/>
    <cellStyle name="Percent 4 2 3" xfId="599"/>
    <cellStyle name="Percent 4 3" xfId="600"/>
    <cellStyle name="Percent 4 3 2" xfId="601"/>
    <cellStyle name="Percent 4 3 2 2" xfId="602"/>
    <cellStyle name="Percent 4 3 2 3" xfId="603"/>
    <cellStyle name="Percent 4 3 2 4" xfId="604"/>
    <cellStyle name="Percent 4 3 3" xfId="605"/>
    <cellStyle name="Percent 4 4" xfId="606"/>
    <cellStyle name="Percent 4 5" xfId="607"/>
    <cellStyle name="Percent 4 5 2" xfId="608"/>
    <cellStyle name="Percent 4 5 3" xfId="609"/>
    <cellStyle name="Percent 4 5 4" xfId="610"/>
    <cellStyle name="Percent 5" xfId="611"/>
    <cellStyle name="Percent 5 2" xfId="612"/>
    <cellStyle name="Percent 5 3" xfId="613"/>
    <cellStyle name="Percent 5 4" xfId="614"/>
    <cellStyle name="Percent 5 4 2" xfId="615"/>
    <cellStyle name="Percent 5 4 3" xfId="616"/>
    <cellStyle name="Percent 5 4 4" xfId="617"/>
    <cellStyle name="Percent 5 5" xfId="618"/>
    <cellStyle name="Percent 6" xfId="619"/>
    <cellStyle name="Percent 6 2" xfId="620"/>
    <cellStyle name="Percent 7" xfId="621"/>
    <cellStyle name="Percent 7 2" xfId="622"/>
    <cellStyle name="Percent 7 2 2" xfId="623"/>
    <cellStyle name="Percent 7 2 2 2" xfId="624"/>
    <cellStyle name="Percent 7 2 2 2 2" xfId="625"/>
    <cellStyle name="Percent 7 2 2 3" xfId="626"/>
    <cellStyle name="Percent 7 2 2 3 2" xfId="627"/>
    <cellStyle name="Percent 7 2 2 4" xfId="628"/>
    <cellStyle name="Percent 7 2 3" xfId="629"/>
    <cellStyle name="Percent 7 2 3 2" xfId="630"/>
    <cellStyle name="Percent 7 2 4" xfId="631"/>
    <cellStyle name="Percent 7 2 4 2" xfId="632"/>
    <cellStyle name="Percent 7 2 4 3" xfId="633"/>
    <cellStyle name="Percent 7 2 5" xfId="634"/>
    <cellStyle name="Percent 7 2 5 2" xfId="635"/>
    <cellStyle name="Percent 7 3" xfId="636"/>
    <cellStyle name="Percent 7 4" xfId="637"/>
    <cellStyle name="Percent 7 5" xfId="638"/>
    <cellStyle name="Percent 8" xfId="639"/>
    <cellStyle name="Percent 9" xfId="640"/>
    <cellStyle name="PSChar" xfId="641"/>
    <cellStyle name="PSChar 2" xfId="642"/>
    <cellStyle name="PSChar 2 2" xfId="643"/>
    <cellStyle name="PSChar 3" xfId="644"/>
    <cellStyle name="PSChar 4" xfId="645"/>
    <cellStyle name="PSChar 4 2" xfId="646"/>
    <cellStyle name="PSChar 5" xfId="647"/>
    <cellStyle name="PSChar 5 2" xfId="648"/>
    <cellStyle name="PSDate" xfId="649"/>
    <cellStyle name="PSDate 2" xfId="650"/>
    <cellStyle name="PSDate 3" xfId="651"/>
    <cellStyle name="PSDate 4" xfId="652"/>
    <cellStyle name="PSDate 4 2" xfId="653"/>
    <cellStyle name="PSDate 5" xfId="654"/>
    <cellStyle name="PSDate 5 2" xfId="655"/>
    <cellStyle name="PSDec" xfId="656"/>
    <cellStyle name="PSDec 2" xfId="657"/>
    <cellStyle name="PSDec 3" xfId="658"/>
    <cellStyle name="PSDec 4" xfId="659"/>
    <cellStyle name="PSDec 4 2" xfId="660"/>
    <cellStyle name="PSDec 5" xfId="661"/>
    <cellStyle name="PSDec 5 2" xfId="662"/>
    <cellStyle name="PSdesc" xfId="663"/>
    <cellStyle name="PSdesc 2" xfId="664"/>
    <cellStyle name="PSHeading" xfId="665"/>
    <cellStyle name="PSHeading 2" xfId="666"/>
    <cellStyle name="PSHeading 3" xfId="667"/>
    <cellStyle name="PSHeading 4" xfId="668"/>
    <cellStyle name="PSHeading 5" xfId="669"/>
    <cellStyle name="PSHeading 5 2" xfId="670"/>
    <cellStyle name="PSHeading 6" xfId="671"/>
    <cellStyle name="PSHeading 6 2" xfId="672"/>
    <cellStyle name="PSInt" xfId="673"/>
    <cellStyle name="PSInt 2" xfId="674"/>
    <cellStyle name="PSInt 3" xfId="675"/>
    <cellStyle name="PSInt 4" xfId="676"/>
    <cellStyle name="PSInt 4 2" xfId="677"/>
    <cellStyle name="PSInt 5" xfId="678"/>
    <cellStyle name="PSInt 5 2" xfId="679"/>
    <cellStyle name="PSSpacer" xfId="680"/>
    <cellStyle name="PSSpacer 2" xfId="681"/>
    <cellStyle name="PSSpacer 3" xfId="682"/>
    <cellStyle name="PSSpacer 3 2" xfId="683"/>
    <cellStyle name="PStest" xfId="684"/>
    <cellStyle name="PStest 2" xfId="685"/>
    <cellStyle name="R00A" xfId="686"/>
    <cellStyle name="R00B" xfId="687"/>
    <cellStyle name="R00L" xfId="688"/>
    <cellStyle name="R01A" xfId="689"/>
    <cellStyle name="R01B" xfId="690"/>
    <cellStyle name="R01H" xfId="691"/>
    <cellStyle name="R01L" xfId="692"/>
    <cellStyle name="R02A" xfId="693"/>
    <cellStyle name="R02B" xfId="694"/>
    <cellStyle name="R02B 2" xfId="695"/>
    <cellStyle name="R02H" xfId="696"/>
    <cellStyle name="R02L" xfId="697"/>
    <cellStyle name="R03A" xfId="698"/>
    <cellStyle name="R03B" xfId="699"/>
    <cellStyle name="R03B 2" xfId="700"/>
    <cellStyle name="R03H" xfId="701"/>
    <cellStyle name="R03L" xfId="702"/>
    <cellStyle name="R04A" xfId="703"/>
    <cellStyle name="R04B" xfId="704"/>
    <cellStyle name="R04B 2" xfId="705"/>
    <cellStyle name="R04H" xfId="706"/>
    <cellStyle name="R04L" xfId="707"/>
    <cellStyle name="R05A" xfId="708"/>
    <cellStyle name="R05B" xfId="709"/>
    <cellStyle name="R05B 2" xfId="710"/>
    <cellStyle name="R05H" xfId="711"/>
    <cellStyle name="R05L" xfId="712"/>
    <cellStyle name="R05L 2" xfId="713"/>
    <cellStyle name="R06A" xfId="714"/>
    <cellStyle name="R06B" xfId="715"/>
    <cellStyle name="R06B 2" xfId="716"/>
    <cellStyle name="R06H" xfId="717"/>
    <cellStyle name="R06L" xfId="718"/>
    <cellStyle name="R07A" xfId="719"/>
    <cellStyle name="R07B" xfId="720"/>
    <cellStyle name="R07B 2" xfId="721"/>
    <cellStyle name="R07H" xfId="722"/>
    <cellStyle name="R07L" xfId="723"/>
    <cellStyle name="Title" xfId="724" builtinId="15" customBuiltin="1"/>
    <cellStyle name="Title 2" xfId="725"/>
    <cellStyle name="Title 2 2" xfId="726"/>
    <cellStyle name="Total" xfId="727" builtinId="25" customBuiltin="1"/>
    <cellStyle name="Total 2" xfId="728"/>
    <cellStyle name="Total 2 2" xfId="729"/>
    <cellStyle name="Total 3" xfId="730"/>
    <cellStyle name="Total 3 2" xfId="731"/>
    <cellStyle name="Warning Text" xfId="732" builtinId="11" customBuiltin="1"/>
    <cellStyle name="Warning Text 2" xfId="733"/>
    <cellStyle name="Warning Text 2 2" xfId="734"/>
  </cellStyles>
  <dxfs count="6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28</xdr:row>
      <xdr:rowOff>114300</xdr:rowOff>
    </xdr:from>
    <xdr:to>
      <xdr:col>4</xdr:col>
      <xdr:colOff>495300</xdr:colOff>
      <xdr:row>29</xdr:row>
      <xdr:rowOff>152400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3914775" y="5438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0978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200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40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074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71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8088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2910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0080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1104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814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39171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0195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41219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3102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44126" name="Text Box 1"/>
        <xdr:cNvSpPr txBox="1">
          <a:spLocks noChangeArrowheads="1"/>
        </xdr:cNvSpPr>
      </xdr:nvSpPr>
      <xdr:spPr bwMode="auto">
        <a:xfrm>
          <a:off x="3905250" y="0"/>
          <a:ext cx="1143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8143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49167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0191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1</xdr:row>
      <xdr:rowOff>76200</xdr:rowOff>
    </xdr:to>
    <xdr:sp macro="" textlink="">
      <xdr:nvSpPr>
        <xdr:cNvPr id="51215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0" y="0"/>
          <a:ext cx="114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523875</xdr:colOff>
      <xdr:row>0</xdr:row>
      <xdr:rowOff>238125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905250" y="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0</xdr:row>
      <xdr:rowOff>0</xdr:rowOff>
    </xdr:from>
    <xdr:to>
      <xdr:col>4</xdr:col>
      <xdr:colOff>504825</xdr:colOff>
      <xdr:row>0</xdr:row>
      <xdr:rowOff>219075</xdr:rowOff>
    </xdr:to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905250" y="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/dbw/SWPP%20Form%20Rate/Lila%20added/AEP%20SPP%20For%20Rate%20Proj%20w%2013%20mth%20rate%20base%20june-07%20-%20June-08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 of Revisions"/>
      <sheetName val="Zonal Rates"/>
      <sheetName val="Sch 1 Rates"/>
      <sheetName val="Load WS"/>
      <sheetName val="PSO 2008 TCOS 13 Mnth"/>
      <sheetName val="PSO WsA Rev Credits"/>
      <sheetName val="PSO WsB IPP"/>
      <sheetName val="PSO WsC RB Tax"/>
      <sheetName val="PSO Ws C-1 2008 ADIT Avg Bal"/>
      <sheetName val="PSO WsD Misc Exp"/>
      <sheetName val="PSO WsE Acct 561"/>
      <sheetName val="PSO WsF Inc Prjts"/>
      <sheetName val="PSO WsG BPU"/>
      <sheetName val="PSO WsI Bal Sheet"/>
      <sheetName val="PSO WsI - 1 13 Month Prepaids"/>
      <sheetName val="PSO WsJ Tax"/>
      <sheetName val="PSO WsK CWIP"/>
      <sheetName val="SWP TCOS 2008 13 Month"/>
      <sheetName val="SWP WsA Rev Credits"/>
      <sheetName val="SWP WsB IPP"/>
      <sheetName val="SWP WsC RB Tax"/>
      <sheetName val="SWP WsC-1 ADIT 2008 13 Mth Avg "/>
      <sheetName val="SWP WsD Misc Exp"/>
      <sheetName val="SWP WsE Acct 561"/>
      <sheetName val="SWP WsF Inc Prjts"/>
      <sheetName val="SWP WsG BPU"/>
      <sheetName val="SWP WsI Bal Sheet"/>
      <sheetName val="SWP WsI-1 13 Month Prepaids "/>
      <sheetName val="SWP WsJ Tax"/>
      <sheetName val="SWP WsK CWIP"/>
      <sheetName val="FERC Balance Sheet"/>
      <sheetName val="PSO 13 Month Rate Base"/>
      <sheetName val="SWEPCo 13 Month Rate Base"/>
      <sheetName val="Plant Detail - Book"/>
      <sheetName val="FERC Income Stmt w Details"/>
      <sheetName val="Depreciation Detail"/>
      <sheetName val="Taxes Other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17">
          <cell r="I317" t="str">
            <v>CE</v>
          </cell>
          <cell r="J317">
            <v>6.3272239966292818E-2</v>
          </cell>
        </row>
        <row r="318">
          <cell r="I318" t="str">
            <v>DA</v>
          </cell>
          <cell r="J318">
            <v>1</v>
          </cell>
        </row>
        <row r="319">
          <cell r="I319" t="str">
            <v>GP(b)</v>
          </cell>
          <cell r="J319">
            <v>0.17830317329522682</v>
          </cell>
        </row>
        <row r="320">
          <cell r="I320" t="str">
            <v>GP(p)</v>
          </cell>
          <cell r="J320">
            <v>0.17830317329522682</v>
          </cell>
        </row>
        <row r="321">
          <cell r="I321" t="str">
            <v>GTD(p)</v>
          </cell>
          <cell r="J321">
            <v>0.35796417623075211</v>
          </cell>
        </row>
        <row r="322">
          <cell r="I322" t="str">
            <v>GTD(h)</v>
          </cell>
          <cell r="J322">
            <v>0.35796417623075211</v>
          </cell>
        </row>
        <row r="323">
          <cell r="I323" t="str">
            <v>NA</v>
          </cell>
          <cell r="J323">
            <v>0</v>
          </cell>
        </row>
        <row r="324">
          <cell r="I324" t="str">
            <v>NP(b)</v>
          </cell>
          <cell r="J324">
            <v>0.21388078637862473</v>
          </cell>
        </row>
        <row r="325">
          <cell r="I325" t="str">
            <v>NP(p)</v>
          </cell>
          <cell r="J325">
            <v>0.21388078637862473</v>
          </cell>
        </row>
        <row r="326">
          <cell r="I326" t="str">
            <v>TP</v>
          </cell>
          <cell r="J326">
            <v>0.97384420488446088</v>
          </cell>
        </row>
        <row r="327">
          <cell r="I327" t="str">
            <v>TP1</v>
          </cell>
          <cell r="J327">
            <v>0.98824625472059235</v>
          </cell>
        </row>
        <row r="328">
          <cell r="I328" t="str">
            <v>W/S</v>
          </cell>
          <cell r="J328">
            <v>6.3272239966292818E-2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97"/>
  <sheetViews>
    <sheetView tabSelected="1" zoomScale="70" zoomScaleNormal="70" zoomScaleSheetLayoutView="75" workbookViewId="0"/>
  </sheetViews>
  <sheetFormatPr defaultColWidth="8.7109375" defaultRowHeight="12.75" customHeight="1"/>
  <cols>
    <col min="1" max="1" width="7.42578125" style="148" customWidth="1"/>
    <col min="2" max="2" width="7" style="148" bestFit="1" customWidth="1"/>
    <col min="3" max="3" width="43.140625" style="148" customWidth="1"/>
    <col min="4" max="4" width="9.5703125" style="148" customWidth="1"/>
    <col min="5" max="7" width="15.42578125" style="148" bestFit="1" customWidth="1"/>
    <col min="8" max="8" width="2.85546875" style="148" customWidth="1"/>
    <col min="9" max="9" width="13.5703125" style="148" bestFit="1" customWidth="1"/>
    <col min="10" max="10" width="13.28515625" style="148" customWidth="1"/>
    <col min="11" max="11" width="12.85546875" style="148" bestFit="1" customWidth="1"/>
    <col min="12" max="12" width="15.28515625" style="148" customWidth="1"/>
    <col min="13" max="13" width="2.42578125" style="148" customWidth="1"/>
    <col min="14" max="14" width="6.140625" style="148" customWidth="1"/>
    <col min="15" max="15" width="8.7109375" style="148" customWidth="1"/>
    <col min="16" max="16" width="10.7109375" style="148" customWidth="1"/>
    <col min="17" max="17" width="14.42578125" style="148" customWidth="1"/>
    <col min="18" max="18" width="18.7109375" style="148" customWidth="1"/>
    <col min="19" max="19" width="2.42578125" style="148" customWidth="1"/>
    <col min="20" max="20" width="19.140625" style="148" bestFit="1" customWidth="1"/>
    <col min="21" max="21" width="8.7109375" style="148"/>
    <col min="22" max="22" width="13.85546875" style="148" customWidth="1"/>
    <col min="23" max="28" width="8.7109375" style="148"/>
    <col min="29" max="29" width="9.140625" style="148" customWidth="1"/>
    <col min="30" max="16384" width="8.7109375" style="148"/>
  </cols>
  <sheetData>
    <row r="1" spans="1:23" ht="15">
      <c r="H1" s="149" t="s">
        <v>157</v>
      </c>
      <c r="U1" s="148">
        <v>2021</v>
      </c>
    </row>
    <row r="2" spans="1:23" ht="15">
      <c r="H2" s="150" t="s">
        <v>189</v>
      </c>
      <c r="U2" s="148">
        <v>2022</v>
      </c>
    </row>
    <row r="3" spans="1:23" ht="15">
      <c r="H3" s="151" t="str">
        <f>"For Calendar Year "&amp;U1&amp;" and Projected Year "&amp;U2</f>
        <v>For Calendar Year 2021 and Projected Year 2022</v>
      </c>
    </row>
    <row r="4" spans="1:23" ht="15">
      <c r="H4" s="152"/>
    </row>
    <row r="5" spans="1:23" ht="15.75">
      <c r="H5" s="153" t="s">
        <v>158</v>
      </c>
    </row>
    <row r="7" spans="1:23" ht="18">
      <c r="C7" s="154"/>
      <c r="E7" s="154"/>
      <c r="F7" s="154"/>
      <c r="G7" s="154"/>
      <c r="H7" s="154" t="s">
        <v>124</v>
      </c>
      <c r="I7" s="154"/>
      <c r="J7" s="154"/>
      <c r="K7" s="154"/>
      <c r="L7" s="154"/>
    </row>
    <row r="8" spans="1:23">
      <c r="D8" s="155"/>
    </row>
    <row r="9" spans="1:23">
      <c r="A9" s="148" t="s">
        <v>260</v>
      </c>
    </row>
    <row r="12" spans="1:23" ht="22.5" customHeight="1">
      <c r="A12" s="156" t="s">
        <v>159</v>
      </c>
      <c r="B12" s="156" t="s">
        <v>160</v>
      </c>
      <c r="C12" s="157" t="s">
        <v>161</v>
      </c>
      <c r="D12" s="156" t="s">
        <v>162</v>
      </c>
      <c r="E12" s="156" t="s">
        <v>163</v>
      </c>
      <c r="F12" s="156" t="s">
        <v>164</v>
      </c>
      <c r="G12" s="156" t="str">
        <f>"(G) = "&amp;E12&amp;" + "&amp;F12</f>
        <v>(G) = (E) + (F)</v>
      </c>
      <c r="H12" s="156"/>
      <c r="I12" s="156" t="s">
        <v>165</v>
      </c>
      <c r="J12" s="156" t="s">
        <v>166</v>
      </c>
      <c r="K12" s="158" t="s">
        <v>197</v>
      </c>
      <c r="L12" s="156" t="str">
        <f>"(K) = "&amp;J12&amp;" - "&amp;K12</f>
        <v>(K) = (I) - (J)</v>
      </c>
      <c r="M12" s="156"/>
      <c r="N12" s="156" t="s">
        <v>198</v>
      </c>
      <c r="O12" s="156" t="s">
        <v>167</v>
      </c>
      <c r="P12" s="156" t="str">
        <f>"(N) = "&amp;N12&amp;"-"&amp;O12</f>
        <v>(N) = (L)-(M)</v>
      </c>
      <c r="Q12" s="156" t="s">
        <v>199</v>
      </c>
      <c r="R12" s="156" t="str">
        <f>"(P) = "&amp;I12&amp;"+"&amp;LEFT(L12,3)&amp;"+"&amp;LEFT(P12,3)&amp;"+"&amp;Q12</f>
        <v>(P) = (H)+(K)+(N)+(O)</v>
      </c>
      <c r="S12" s="156"/>
      <c r="T12" s="156" t="str">
        <f>"(Q) = "&amp;LEFT(G12,3)&amp;" + "&amp;LEFT(R12,3)</f>
        <v>(Q) = (G) + (P)</v>
      </c>
      <c r="U12" s="156"/>
      <c r="V12" s="159"/>
      <c r="W12" s="159"/>
    </row>
    <row r="13" spans="1:23" ht="16.5" customHeight="1">
      <c r="A13" s="160"/>
      <c r="B13" s="160"/>
      <c r="C13" s="160"/>
      <c r="D13" s="160"/>
      <c r="E13" s="631" t="str">
        <f>"Projected ARR For "&amp;U2&amp;" From WS-F"</f>
        <v>Projected ARR For 2022 From WS-F</v>
      </c>
      <c r="F13" s="631"/>
      <c r="G13" s="631"/>
      <c r="H13" s="160"/>
      <c r="I13" s="161" t="s">
        <v>380</v>
      </c>
      <c r="J13" s="161"/>
      <c r="K13" s="161"/>
      <c r="L13" s="161"/>
      <c r="M13" s="161"/>
      <c r="N13" s="161"/>
      <c r="O13" s="161"/>
      <c r="P13" s="161"/>
      <c r="Q13" s="161"/>
      <c r="R13" s="162"/>
      <c r="S13" s="160"/>
      <c r="T13" s="160"/>
      <c r="U13" s="160"/>
    </row>
    <row r="14" spans="1:23" ht="18" customHeight="1">
      <c r="I14" s="163"/>
      <c r="T14" s="632" t="str">
        <f>"Total ADJUSTED Revenue Requirement Effective
1/1/"&amp;U2&amp;""</f>
        <v>Total ADJUSTED Revenue Requirement Effective
1/1/2022</v>
      </c>
    </row>
    <row r="15" spans="1:23" ht="18" customHeight="1" thickBot="1">
      <c r="D15" s="160"/>
      <c r="E15" s="164"/>
      <c r="F15" s="164"/>
      <c r="G15" s="164"/>
      <c r="I15" s="161" t="s">
        <v>168</v>
      </c>
      <c r="J15" s="165"/>
      <c r="K15" s="165"/>
      <c r="L15" s="165"/>
      <c r="M15" s="166"/>
      <c r="N15" s="161" t="s">
        <v>196</v>
      </c>
      <c r="O15" s="167"/>
      <c r="P15" s="167"/>
      <c r="Q15" s="168"/>
      <c r="T15" s="632"/>
    </row>
    <row r="16" spans="1:23" ht="69" customHeight="1">
      <c r="A16" s="169" t="s">
        <v>179</v>
      </c>
      <c r="B16" s="170" t="s">
        <v>169</v>
      </c>
      <c r="C16" s="170" t="s">
        <v>131</v>
      </c>
      <c r="D16" s="171" t="s">
        <v>170</v>
      </c>
      <c r="E16" s="172" t="s">
        <v>194</v>
      </c>
      <c r="F16" s="173" t="s">
        <v>171</v>
      </c>
      <c r="G16" s="173" t="s">
        <v>172</v>
      </c>
      <c r="I16" s="174" t="s">
        <v>193</v>
      </c>
      <c r="J16" s="174" t="s">
        <v>223</v>
      </c>
      <c r="K16" s="174" t="s">
        <v>213</v>
      </c>
      <c r="L16" s="174" t="s">
        <v>195</v>
      </c>
      <c r="M16" s="174"/>
      <c r="N16" s="175" t="s">
        <v>173</v>
      </c>
      <c r="O16" s="175" t="s">
        <v>174</v>
      </c>
      <c r="P16" s="176" t="s">
        <v>175</v>
      </c>
      <c r="Q16" s="176" t="s">
        <v>176</v>
      </c>
      <c r="R16" s="172" t="s">
        <v>220</v>
      </c>
      <c r="T16" s="632"/>
      <c r="V16" s="177" t="s">
        <v>200</v>
      </c>
    </row>
    <row r="17" spans="1:23">
      <c r="B17" s="160"/>
      <c r="C17" s="160"/>
      <c r="E17" s="178"/>
      <c r="F17" s="178"/>
      <c r="G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T17" s="178"/>
      <c r="V17" s="179"/>
    </row>
    <row r="18" spans="1:23">
      <c r="A18" s="156" t="s">
        <v>178</v>
      </c>
      <c r="B18" s="156" t="s">
        <v>117</v>
      </c>
      <c r="C18" s="180" t="str">
        <f t="shared" ref="C18:E48" ca="1" si="0">INDIRECT("'"&amp; $A18 &amp; "'!" &amp;C$58)</f>
        <v>Riverside-Glenpool (81-523) Reconductor</v>
      </c>
      <c r="D18" s="181">
        <f t="shared" ca="1" si="0"/>
        <v>2009</v>
      </c>
      <c r="E18" s="621">
        <f ca="1">INDIRECT("'"&amp; $A18 &amp; "'!" &amp;E$58)</f>
        <v>90708.453283775307</v>
      </c>
      <c r="F18" s="183">
        <f t="shared" ref="F18:F48" ca="1" si="1">INDIRECT("'"&amp; $A18 &amp; "'!" &amp;F$58)</f>
        <v>0</v>
      </c>
      <c r="G18" s="183">
        <f t="shared" ref="G18:G27" ca="1" si="2">+E18+F18</f>
        <v>90708.453283775307</v>
      </c>
      <c r="H18" s="184"/>
      <c r="I18" s="185">
        <f t="shared" ref="I18:I48" ca="1" si="3">INDIRECT("'"&amp; $A18 &amp; "'!" &amp;I$58)</f>
        <v>3611.9555264666706</v>
      </c>
      <c r="J18" s="186">
        <v>67660.298193969837</v>
      </c>
      <c r="K18" s="186">
        <v>75685.510492854082</v>
      </c>
      <c r="L18" s="182">
        <f t="shared" ref="L18:L27" si="4">+J18-K18</f>
        <v>-8025.2122988842457</v>
      </c>
      <c r="M18" s="182"/>
      <c r="N18" s="183">
        <v>0</v>
      </c>
      <c r="O18" s="183">
        <v>0</v>
      </c>
      <c r="P18" s="183">
        <f t="shared" ref="P18:P26" si="5">+N18-O18</f>
        <v>0</v>
      </c>
      <c r="Q18" s="624">
        <f ca="1">+V18/$V$51 * $Q$51</f>
        <v>-304.79751193139634</v>
      </c>
      <c r="R18" s="187">
        <f t="shared" ref="R18:R27" ca="1" si="6">I18+L18+P18+Q18</f>
        <v>-4718.0542843489711</v>
      </c>
      <c r="S18" s="187"/>
      <c r="T18" s="188">
        <f t="shared" ref="T18:T27" ca="1" si="7">+G18+R18</f>
        <v>85990.398999426339</v>
      </c>
      <c r="V18" s="189">
        <f t="shared" ref="V18:V27" ca="1" si="8">+I18+L18+P18</f>
        <v>-4413.2567724175751</v>
      </c>
      <c r="W18" s="159" t="str">
        <f>A18</f>
        <v>P.001</v>
      </c>
    </row>
    <row r="19" spans="1:23" ht="25.5">
      <c r="A19" s="156" t="s">
        <v>180</v>
      </c>
      <c r="B19" s="156" t="s">
        <v>117</v>
      </c>
      <c r="C19" s="180" t="str">
        <f t="shared" ca="1" si="0"/>
        <v>Craig Jct. to Broken Bow Dam 138 Rebuild (7.7mi)</v>
      </c>
      <c r="D19" s="181">
        <f t="shared" ca="1" si="0"/>
        <v>2009</v>
      </c>
      <c r="E19" s="621">
        <f t="shared" ca="1" si="0"/>
        <v>470894.83739416272</v>
      </c>
      <c r="F19" s="183">
        <f t="shared" ca="1" si="1"/>
        <v>0</v>
      </c>
      <c r="G19" s="183">
        <f t="shared" ca="1" si="2"/>
        <v>470894.83739416272</v>
      </c>
      <c r="H19" s="184"/>
      <c r="I19" s="185">
        <f t="shared" ca="1" si="3"/>
        <v>23042.974683415086</v>
      </c>
      <c r="J19" s="186">
        <v>356132.95995641302</v>
      </c>
      <c r="K19" s="186">
        <v>398374.01839938294</v>
      </c>
      <c r="L19" s="182">
        <f t="shared" si="4"/>
        <v>-42241.058442969923</v>
      </c>
      <c r="M19" s="182"/>
      <c r="N19" s="183">
        <v>0</v>
      </c>
      <c r="O19" s="183">
        <v>0</v>
      </c>
      <c r="P19" s="183">
        <f t="shared" si="5"/>
        <v>0</v>
      </c>
      <c r="Q19" s="624">
        <f ca="1">+V19/$V$51 * $Q$51</f>
        <v>-1325.8979627775893</v>
      </c>
      <c r="R19" s="187">
        <f t="shared" ca="1" si="6"/>
        <v>-20523.981722332424</v>
      </c>
      <c r="S19" s="187"/>
      <c r="T19" s="190">
        <f t="shared" ca="1" si="7"/>
        <v>450370.8556718303</v>
      </c>
      <c r="V19" s="189">
        <f t="shared" ca="1" si="8"/>
        <v>-19198.083759554836</v>
      </c>
      <c r="W19" s="159" t="str">
        <f t="shared" ref="W19:W25" si="9">A19</f>
        <v>P.002</v>
      </c>
    </row>
    <row r="20" spans="1:23" ht="25.5">
      <c r="A20" s="156" t="s">
        <v>181</v>
      </c>
      <c r="B20" s="156" t="s">
        <v>117</v>
      </c>
      <c r="C20" s="191" t="str">
        <f t="shared" ca="1" si="0"/>
        <v>WFEC New 138 kV Ties: Sayre to Erick (WFEC) Line &amp; Atoka and Tupelo station work</v>
      </c>
      <c r="D20" s="181">
        <f t="shared" ca="1" si="0"/>
        <v>2009</v>
      </c>
      <c r="E20" s="621">
        <f t="shared" ca="1" si="0"/>
        <v>1158897.5538764906</v>
      </c>
      <c r="F20" s="183">
        <f t="shared" ca="1" si="1"/>
        <v>0</v>
      </c>
      <c r="G20" s="183">
        <f t="shared" ca="1" si="2"/>
        <v>1158897.5538764906</v>
      </c>
      <c r="H20" s="184"/>
      <c r="I20" s="185">
        <f t="shared" ca="1" si="3"/>
        <v>57254.066949527944</v>
      </c>
      <c r="J20" s="186">
        <v>865094.88153277</v>
      </c>
      <c r="K20" s="186">
        <v>967704.09651251335</v>
      </c>
      <c r="L20" s="182">
        <f t="shared" si="4"/>
        <v>-102609.21497974335</v>
      </c>
      <c r="M20" s="182"/>
      <c r="N20" s="183">
        <v>0</v>
      </c>
      <c r="O20" s="183">
        <v>0</v>
      </c>
      <c r="P20" s="183">
        <f t="shared" si="5"/>
        <v>0</v>
      </c>
      <c r="Q20" s="624">
        <f ca="1">+V20/$V$51 * $Q$51</f>
        <v>-3132.4115014764911</v>
      </c>
      <c r="R20" s="187">
        <f t="shared" ca="1" si="6"/>
        <v>-48487.559531691899</v>
      </c>
      <c r="S20" s="187"/>
      <c r="T20" s="190">
        <f t="shared" ca="1" si="7"/>
        <v>1110409.9943447986</v>
      </c>
      <c r="V20" s="189">
        <f t="shared" ca="1" si="8"/>
        <v>-45355.148030215409</v>
      </c>
      <c r="W20" s="159" t="str">
        <f t="shared" si="9"/>
        <v>P.003</v>
      </c>
    </row>
    <row r="21" spans="1:23" ht="25.5">
      <c r="A21" s="156" t="s">
        <v>182</v>
      </c>
      <c r="B21" s="156" t="s">
        <v>117</v>
      </c>
      <c r="C21" s="191" t="str">
        <f t="shared" ca="1" si="0"/>
        <v>Cache-Snyder to Altus Jct. 138 kV line (w/2 ring bus stations)</v>
      </c>
      <c r="D21" s="181">
        <f t="shared" ca="1" si="0"/>
        <v>2008</v>
      </c>
      <c r="E21" s="621">
        <f t="shared" ca="1" si="0"/>
        <v>1445071.5333333332</v>
      </c>
      <c r="F21" s="183">
        <f t="shared" ca="1" si="1"/>
        <v>0</v>
      </c>
      <c r="G21" s="183">
        <f t="shared" ca="1" si="2"/>
        <v>1445071.5333333332</v>
      </c>
      <c r="H21" s="184"/>
      <c r="I21" s="185">
        <f t="shared" ca="1" si="3"/>
        <v>53169.550503387582</v>
      </c>
      <c r="J21" s="186">
        <v>1041036.5663488451</v>
      </c>
      <c r="K21" s="186">
        <v>1164514.2878318338</v>
      </c>
      <c r="L21" s="182">
        <f t="shared" si="4"/>
        <v>-123477.72148298868</v>
      </c>
      <c r="M21" s="182"/>
      <c r="N21" s="183">
        <v>0</v>
      </c>
      <c r="O21" s="183">
        <v>0</v>
      </c>
      <c r="P21" s="183">
        <f t="shared" si="5"/>
        <v>0</v>
      </c>
      <c r="Q21" s="624">
        <f ca="1">+V21/$V$51 * $Q$51</f>
        <v>-4855.7690359109638</v>
      </c>
      <c r="R21" s="187">
        <f t="shared" ca="1" si="6"/>
        <v>-75163.940015512067</v>
      </c>
      <c r="S21" s="187"/>
      <c r="T21" s="190">
        <f t="shared" ca="1" si="7"/>
        <v>1369907.5933178212</v>
      </c>
      <c r="V21" s="189">
        <f t="shared" ca="1" si="8"/>
        <v>-70308.170979601098</v>
      </c>
      <c r="W21" s="159" t="str">
        <f t="shared" si="9"/>
        <v>P.004</v>
      </c>
    </row>
    <row r="22" spans="1:23">
      <c r="A22" s="158" t="s">
        <v>183</v>
      </c>
      <c r="B22" s="156" t="s">
        <v>117</v>
      </c>
      <c r="C22" s="191" t="str">
        <f t="shared" ca="1" si="0"/>
        <v>Catoosa 138 kV Device (Cap. Bank)</v>
      </c>
      <c r="D22" s="181">
        <f t="shared" ca="1" si="0"/>
        <v>2006</v>
      </c>
      <c r="E22" s="621">
        <f t="shared" ca="1" si="0"/>
        <v>36756.917403506392</v>
      </c>
      <c r="F22" s="183">
        <f t="shared" ca="1" si="1"/>
        <v>0</v>
      </c>
      <c r="G22" s="183">
        <f t="shared" ca="1" si="2"/>
        <v>36756.917403506392</v>
      </c>
      <c r="H22" s="184"/>
      <c r="I22" s="185">
        <f t="shared" ca="1" si="3"/>
        <v>1604.7366543970638</v>
      </c>
      <c r="J22" s="186">
        <v>27861.989696789402</v>
      </c>
      <c r="K22" s="186">
        <v>31166.710313672353</v>
      </c>
      <c r="L22" s="182">
        <f t="shared" si="4"/>
        <v>-3304.7206168829507</v>
      </c>
      <c r="M22" s="182"/>
      <c r="N22" s="183">
        <v>0</v>
      </c>
      <c r="O22" s="183">
        <v>0</v>
      </c>
      <c r="P22" s="183">
        <f t="shared" si="5"/>
        <v>0</v>
      </c>
      <c r="Q22" s="624">
        <f t="shared" ref="Q22:Q44" ca="1" si="10">+V22/$V$51 * $Q$51</f>
        <v>-117.40782574160811</v>
      </c>
      <c r="R22" s="187">
        <f t="shared" ca="1" si="6"/>
        <v>-1817.391788227495</v>
      </c>
      <c r="S22" s="187"/>
      <c r="T22" s="190">
        <f t="shared" ca="1" si="7"/>
        <v>34939.525615278893</v>
      </c>
      <c r="V22" s="189">
        <f t="shared" ca="1" si="8"/>
        <v>-1699.9839624858869</v>
      </c>
      <c r="W22" s="159" t="str">
        <f t="shared" si="9"/>
        <v>P.005</v>
      </c>
    </row>
    <row r="23" spans="1:23">
      <c r="A23" s="156" t="s">
        <v>184</v>
      </c>
      <c r="B23" s="156" t="s">
        <v>117</v>
      </c>
      <c r="C23" s="191" t="str">
        <f t="shared" ca="1" si="0"/>
        <v>Pryor Junction 138/69 Upgrade Transf</v>
      </c>
      <c r="D23" s="181">
        <f t="shared" ca="1" si="0"/>
        <v>2008</v>
      </c>
      <c r="E23" s="621">
        <f t="shared" ca="1" si="0"/>
        <v>150148.14020254629</v>
      </c>
      <c r="F23" s="183">
        <f t="shared" ca="1" si="1"/>
        <v>0</v>
      </c>
      <c r="G23" s="183">
        <f t="shared" ca="1" si="2"/>
        <v>150148.14020254629</v>
      </c>
      <c r="H23" s="184"/>
      <c r="I23" s="185">
        <f t="shared" ca="1" si="3"/>
        <v>6534.739831025945</v>
      </c>
      <c r="J23" s="186">
        <v>113041.81021690844</v>
      </c>
      <c r="K23" s="186">
        <v>126449.7399756591</v>
      </c>
      <c r="L23" s="182">
        <f t="shared" si="4"/>
        <v>-13407.929758750659</v>
      </c>
      <c r="M23" s="182"/>
      <c r="N23" s="183">
        <v>0</v>
      </c>
      <c r="O23" s="183">
        <v>0</v>
      </c>
      <c r="P23" s="183">
        <f t="shared" si="5"/>
        <v>0</v>
      </c>
      <c r="Q23" s="624">
        <f t="shared" ca="1" si="10"/>
        <v>-474.69052834078059</v>
      </c>
      <c r="R23" s="187">
        <f t="shared" ca="1" si="6"/>
        <v>-7347.8804560654944</v>
      </c>
      <c r="S23" s="187"/>
      <c r="T23" s="190">
        <f t="shared" ca="1" si="7"/>
        <v>142800.25974648079</v>
      </c>
      <c r="V23" s="189">
        <f t="shared" ca="1" si="8"/>
        <v>-6873.1899277247139</v>
      </c>
      <c r="W23" s="159" t="str">
        <f t="shared" si="9"/>
        <v>P.006</v>
      </c>
    </row>
    <row r="24" spans="1:23">
      <c r="A24" s="156" t="s">
        <v>185</v>
      </c>
      <c r="B24" s="156" t="s">
        <v>117</v>
      </c>
      <c r="C24" s="191" t="str">
        <f t="shared" ca="1" si="0"/>
        <v>Elk City - Elk City 69 kV line (CT Upgrades)*</v>
      </c>
      <c r="D24" s="181">
        <f t="shared" ca="1" si="0"/>
        <v>2007</v>
      </c>
      <c r="E24" s="621">
        <f t="shared" ca="1" si="0"/>
        <v>8297.5518554789269</v>
      </c>
      <c r="F24" s="183">
        <f t="shared" ca="1" si="1"/>
        <v>0</v>
      </c>
      <c r="G24" s="183">
        <f t="shared" ca="1" si="2"/>
        <v>8297.5518554789269</v>
      </c>
      <c r="H24" s="184"/>
      <c r="I24" s="185">
        <f t="shared" ca="1" si="3"/>
        <v>340.38949939529994</v>
      </c>
      <c r="J24" s="186">
        <v>6230.8279532834695</v>
      </c>
      <c r="K24" s="186">
        <v>6969.8686973778949</v>
      </c>
      <c r="L24" s="182">
        <f t="shared" si="4"/>
        <v>-739.04074409442546</v>
      </c>
      <c r="M24" s="182"/>
      <c r="N24" s="183">
        <v>0</v>
      </c>
      <c r="O24" s="183">
        <v>0</v>
      </c>
      <c r="P24" s="183">
        <f t="shared" si="5"/>
        <v>0</v>
      </c>
      <c r="Q24" s="624">
        <f t="shared" ca="1" si="10"/>
        <v>-27.532480836388292</v>
      </c>
      <c r="R24" s="187">
        <f t="shared" ca="1" si="6"/>
        <v>-426.18372553551382</v>
      </c>
      <c r="S24" s="192" t="s">
        <v>224</v>
      </c>
      <c r="T24" s="190">
        <f t="shared" ca="1" si="7"/>
        <v>7871.3681299434129</v>
      </c>
      <c r="V24" s="189">
        <f t="shared" ca="1" si="8"/>
        <v>-398.65124469912553</v>
      </c>
      <c r="W24" s="159" t="str">
        <f t="shared" si="9"/>
        <v>P.007</v>
      </c>
    </row>
    <row r="25" spans="1:23" ht="25.5">
      <c r="A25" s="156" t="s">
        <v>186</v>
      </c>
      <c r="B25" s="156" t="s">
        <v>117</v>
      </c>
      <c r="C25" s="191" t="str">
        <f t="shared" ca="1" si="0"/>
        <v>Weleetka &amp; Okmulgee Wavetrap replacement 81-805*</v>
      </c>
      <c r="D25" s="181">
        <f t="shared" ca="1" si="0"/>
        <v>2006</v>
      </c>
      <c r="E25" s="621">
        <f t="shared" ca="1" si="0"/>
        <v>5328.2273193212004</v>
      </c>
      <c r="F25" s="183">
        <f t="shared" ca="1" si="1"/>
        <v>0</v>
      </c>
      <c r="G25" s="183">
        <f t="shared" ca="1" si="2"/>
        <v>5328.2273193212004</v>
      </c>
      <c r="H25" s="184"/>
      <c r="I25" s="185">
        <f t="shared" ca="1" si="3"/>
        <v>293.67311220025022</v>
      </c>
      <c r="J25" s="186">
        <v>4099.0879678357605</v>
      </c>
      <c r="K25" s="186">
        <v>4585.2822656997296</v>
      </c>
      <c r="L25" s="182">
        <f t="shared" si="4"/>
        <v>-486.19429786396904</v>
      </c>
      <c r="M25" s="182"/>
      <c r="N25" s="183">
        <v>0</v>
      </c>
      <c r="O25" s="183">
        <v>0</v>
      </c>
      <c r="P25" s="183">
        <f t="shared" si="5"/>
        <v>0</v>
      </c>
      <c r="Q25" s="624">
        <f t="shared" ca="1" si="10"/>
        <v>-13.296298269144014</v>
      </c>
      <c r="R25" s="187">
        <f t="shared" ca="1" si="6"/>
        <v>-205.81748393286284</v>
      </c>
      <c r="S25" s="192" t="s">
        <v>224</v>
      </c>
      <c r="T25" s="190">
        <f t="shared" ca="1" si="7"/>
        <v>5122.4098353883373</v>
      </c>
      <c r="V25" s="189">
        <f ca="1">+I25+L25+P25</f>
        <v>-192.52118566371882</v>
      </c>
      <c r="W25" s="159" t="str">
        <f t="shared" si="9"/>
        <v>P.008</v>
      </c>
    </row>
    <row r="26" spans="1:23">
      <c r="A26" s="156" t="s">
        <v>187</v>
      </c>
      <c r="B26" s="156" t="s">
        <v>117</v>
      </c>
      <c r="C26" s="191" t="str">
        <f t="shared" ca="1" si="0"/>
        <v>Tulsa Southeast Upgrade (repl switches)*</v>
      </c>
      <c r="D26" s="181">
        <f t="shared" ca="1" si="0"/>
        <v>2007</v>
      </c>
      <c r="E26" s="621">
        <f t="shared" ca="1" si="0"/>
        <v>7037.8367110732015</v>
      </c>
      <c r="F26" s="183">
        <f t="shared" ca="1" si="1"/>
        <v>0</v>
      </c>
      <c r="G26" s="183">
        <f t="shared" ca="1" si="2"/>
        <v>7037.8367110732015</v>
      </c>
      <c r="H26" s="184"/>
      <c r="I26" s="185">
        <f t="shared" ca="1" si="3"/>
        <v>385.69718462077708</v>
      </c>
      <c r="J26" s="186">
        <v>5393.371852303977</v>
      </c>
      <c r="K26" s="186">
        <v>6033.0816271187659</v>
      </c>
      <c r="L26" s="182">
        <f t="shared" si="4"/>
        <v>-639.70977481478894</v>
      </c>
      <c r="M26" s="182"/>
      <c r="N26" s="183">
        <v>0</v>
      </c>
      <c r="O26" s="183">
        <v>0</v>
      </c>
      <c r="P26" s="183">
        <f t="shared" si="5"/>
        <v>0</v>
      </c>
      <c r="Q26" s="624">
        <f t="shared" ca="1" si="10"/>
        <v>-17.543145455362289</v>
      </c>
      <c r="R26" s="187">
        <f t="shared" ca="1" si="6"/>
        <v>-271.55573564937413</v>
      </c>
      <c r="S26" s="192" t="s">
        <v>224</v>
      </c>
      <c r="T26" s="190">
        <f t="shared" ca="1" si="7"/>
        <v>6766.2809754238278</v>
      </c>
      <c r="V26" s="189">
        <f t="shared" ca="1" si="8"/>
        <v>-254.01259019401186</v>
      </c>
      <c r="W26" s="159" t="str">
        <f t="shared" ref="W26:W31" si="11">A26</f>
        <v>P.009</v>
      </c>
    </row>
    <row r="27" spans="1:23">
      <c r="A27" s="156" t="s">
        <v>222</v>
      </c>
      <c r="B27" s="156" t="s">
        <v>117</v>
      </c>
      <c r="C27" s="193" t="str">
        <f t="shared" ca="1" si="0"/>
        <v>Wavetrap Clinton City-Foss Tap 69kV Ckt 1*</v>
      </c>
      <c r="D27" s="181">
        <f t="shared" ca="1" si="0"/>
        <v>2010</v>
      </c>
      <c r="E27" s="621">
        <f t="shared" ca="1" si="0"/>
        <v>9919.1904761904771</v>
      </c>
      <c r="F27" s="183">
        <f t="shared" ca="1" si="1"/>
        <v>0</v>
      </c>
      <c r="G27" s="183">
        <f t="shared" ca="1" si="2"/>
        <v>9919.1904761904771</v>
      </c>
      <c r="H27" s="184"/>
      <c r="I27" s="185">
        <f t="shared" ca="1" si="3"/>
        <v>479.72533841462973</v>
      </c>
      <c r="J27" s="186">
        <v>7469.744084746786</v>
      </c>
      <c r="K27" s="186">
        <v>8355.7331166983222</v>
      </c>
      <c r="L27" s="182">
        <f t="shared" si="4"/>
        <v>-885.98903195153616</v>
      </c>
      <c r="M27" s="182"/>
      <c r="N27" s="183">
        <v>0</v>
      </c>
      <c r="O27" s="183">
        <v>0</v>
      </c>
      <c r="P27" s="183">
        <f t="shared" ref="P27:P33" si="12">+N27-O27</f>
        <v>0</v>
      </c>
      <c r="Q27" s="624">
        <f t="shared" ca="1" si="10"/>
        <v>-28.058227600084894</v>
      </c>
      <c r="R27" s="187">
        <f t="shared" ca="1" si="6"/>
        <v>-434.32192113699131</v>
      </c>
      <c r="S27" s="187"/>
      <c r="T27" s="190">
        <f t="shared" ca="1" si="7"/>
        <v>9484.8685550534865</v>
      </c>
      <c r="V27" s="189">
        <f t="shared" ca="1" si="8"/>
        <v>-406.26369353690643</v>
      </c>
      <c r="W27" s="159" t="str">
        <f t="shared" si="11"/>
        <v>P.010</v>
      </c>
    </row>
    <row r="28" spans="1:23">
      <c r="A28" s="158" t="s">
        <v>230</v>
      </c>
      <c r="B28" s="156" t="s">
        <v>117</v>
      </c>
      <c r="C28" s="193" t="str">
        <f t="shared" ca="1" si="0"/>
        <v>Bartlesville SE to Coffeyville T Rebuild</v>
      </c>
      <c r="D28" s="181">
        <f t="shared" ca="1" si="0"/>
        <v>2011</v>
      </c>
      <c r="E28" s="621">
        <f t="shared" ca="1" si="0"/>
        <v>147114.94333333333</v>
      </c>
      <c r="F28" s="183">
        <f t="shared" ca="1" si="1"/>
        <v>0</v>
      </c>
      <c r="G28" s="183">
        <f t="shared" ref="G28:G33" ca="1" si="13">+E28+F28</f>
        <v>147114.94333333333</v>
      </c>
      <c r="H28" s="184"/>
      <c r="I28" s="185">
        <f t="shared" ca="1" si="3"/>
        <v>6781.1841055260156</v>
      </c>
      <c r="J28" s="186">
        <v>110121.97727473144</v>
      </c>
      <c r="K28" s="186">
        <v>123183.58459826212</v>
      </c>
      <c r="L28" s="182">
        <f t="shared" ref="L28:L33" si="14">+J28-K28</f>
        <v>-13061.607323530683</v>
      </c>
      <c r="M28" s="182"/>
      <c r="N28" s="183">
        <v>0</v>
      </c>
      <c r="O28" s="183">
        <v>0</v>
      </c>
      <c r="P28" s="183">
        <f t="shared" si="12"/>
        <v>0</v>
      </c>
      <c r="Q28" s="624">
        <f t="shared" ca="1" si="10"/>
        <v>-433.75164180065804</v>
      </c>
      <c r="R28" s="187">
        <f t="shared" ref="R28:R33" ca="1" si="15">I28+L28+P28+Q28</f>
        <v>-6714.1748598053255</v>
      </c>
      <c r="S28" s="187"/>
      <c r="T28" s="190">
        <f t="shared" ref="T28:T33" ca="1" si="16">+G28+R28</f>
        <v>140400.76847352801</v>
      </c>
      <c r="V28" s="189">
        <f t="shared" ref="V28:V33" ca="1" si="17">+I28+L28+P28</f>
        <v>-6280.4232180046674</v>
      </c>
      <c r="W28" s="159" t="str">
        <f t="shared" si="11"/>
        <v>P.011</v>
      </c>
    </row>
    <row r="29" spans="1:23" ht="25.5">
      <c r="A29" s="158" t="s">
        <v>238</v>
      </c>
      <c r="B29" s="156" t="s">
        <v>117</v>
      </c>
      <c r="C29" s="193" t="str">
        <f t="shared" ca="1" si="0"/>
        <v>Canadian River - McAlester City 138 kV Line Conversion</v>
      </c>
      <c r="D29" s="181">
        <f t="shared" ca="1" si="0"/>
        <v>2012</v>
      </c>
      <c r="E29" s="621">
        <f t="shared" ca="1" si="0"/>
        <v>359737.7414285714</v>
      </c>
      <c r="F29" s="183">
        <f t="shared" ca="1" si="1"/>
        <v>0</v>
      </c>
      <c r="G29" s="183">
        <f t="shared" ca="1" si="13"/>
        <v>359737.7414285714</v>
      </c>
      <c r="H29" s="184"/>
      <c r="I29" s="185">
        <f t="shared" ca="1" si="3"/>
        <v>15529.147529685055</v>
      </c>
      <c r="J29" s="186">
        <v>266129.53943491704</v>
      </c>
      <c r="K29" s="186">
        <v>297695.25980532827</v>
      </c>
      <c r="L29" s="182">
        <f t="shared" si="14"/>
        <v>-31565.720370411233</v>
      </c>
      <c r="M29" s="182"/>
      <c r="N29" s="183">
        <v>0</v>
      </c>
      <c r="O29" s="183">
        <v>0</v>
      </c>
      <c r="P29" s="183">
        <f t="shared" si="12"/>
        <v>0</v>
      </c>
      <c r="Q29" s="624">
        <f t="shared" ca="1" si="10"/>
        <v>-1107.551124672575</v>
      </c>
      <c r="R29" s="187">
        <f t="shared" ca="1" si="15"/>
        <v>-17144.123965398754</v>
      </c>
      <c r="S29" s="187"/>
      <c r="T29" s="190">
        <f t="shared" ca="1" si="16"/>
        <v>342593.61746317265</v>
      </c>
      <c r="V29" s="189">
        <f t="shared" ca="1" si="17"/>
        <v>-16036.572840726178</v>
      </c>
      <c r="W29" s="159" t="str">
        <f t="shared" si="11"/>
        <v>P.012</v>
      </c>
    </row>
    <row r="30" spans="1:23" ht="15.75" customHeight="1">
      <c r="A30" s="158" t="s">
        <v>240</v>
      </c>
      <c r="B30" s="156" t="s">
        <v>117</v>
      </c>
      <c r="C30" s="193" t="str">
        <f t="shared" ca="1" si="0"/>
        <v>CoffeyvilleT to Dearing 138 kv Rebuild - 1.1 mi*</v>
      </c>
      <c r="D30" s="181">
        <f t="shared" ca="1" si="0"/>
        <v>2010</v>
      </c>
      <c r="E30" s="621">
        <f t="shared" ca="1" si="0"/>
        <v>2369.1190476190477</v>
      </c>
      <c r="F30" s="183">
        <f t="shared" ca="1" si="1"/>
        <v>0</v>
      </c>
      <c r="G30" s="183">
        <f t="shared" ca="1" si="13"/>
        <v>2369.1190476190477</v>
      </c>
      <c r="H30" s="184"/>
      <c r="I30" s="185">
        <f t="shared" ca="1" si="3"/>
        <v>108.68860710137096</v>
      </c>
      <c r="J30" s="186">
        <v>1766.8031170240808</v>
      </c>
      <c r="K30" s="186">
        <v>1976.3642700624566</v>
      </c>
      <c r="L30" s="182">
        <f t="shared" si="14"/>
        <v>-209.56115303837578</v>
      </c>
      <c r="M30" s="182"/>
      <c r="N30" s="183">
        <v>0</v>
      </c>
      <c r="O30" s="183">
        <v>0</v>
      </c>
      <c r="P30" s="183">
        <f t="shared" si="12"/>
        <v>0</v>
      </c>
      <c r="Q30" s="624">
        <f t="shared" ca="1" si="10"/>
        <v>-6.9666694256137989</v>
      </c>
      <c r="R30" s="187">
        <f t="shared" ca="1" si="15"/>
        <v>-107.83921536261862</v>
      </c>
      <c r="S30" s="187"/>
      <c r="T30" s="190">
        <f t="shared" ca="1" si="16"/>
        <v>2261.279832256429</v>
      </c>
      <c r="V30" s="189">
        <f t="shared" ca="1" si="17"/>
        <v>-100.87254593700482</v>
      </c>
      <c r="W30" s="159" t="str">
        <f t="shared" si="11"/>
        <v>P.013</v>
      </c>
    </row>
    <row r="31" spans="1:23" ht="15.75" customHeight="1">
      <c r="A31" s="194" t="s">
        <v>243</v>
      </c>
      <c r="B31" s="156" t="s">
        <v>117</v>
      </c>
      <c r="C31" s="193" t="str">
        <f t="shared" ca="1" si="0"/>
        <v>Ashdown West - Craig Junction</v>
      </c>
      <c r="D31" s="181">
        <f t="shared" ca="1" si="0"/>
        <v>2013</v>
      </c>
      <c r="E31" s="621">
        <f t="shared" ca="1" si="0"/>
        <v>104126</v>
      </c>
      <c r="F31" s="183">
        <f t="shared" ca="1" si="1"/>
        <v>0</v>
      </c>
      <c r="G31" s="183">
        <f t="shared" ca="1" si="13"/>
        <v>104126</v>
      </c>
      <c r="H31" s="184"/>
      <c r="I31" s="185">
        <f t="shared" ca="1" si="3"/>
        <v>13353.309822521944</v>
      </c>
      <c r="J31" s="186">
        <v>85441.557500220122</v>
      </c>
      <c r="K31" s="186">
        <v>95575.811359416126</v>
      </c>
      <c r="L31" s="182">
        <f t="shared" si="14"/>
        <v>-10134.253859196004</v>
      </c>
      <c r="M31" s="182"/>
      <c r="N31" s="183">
        <v>0</v>
      </c>
      <c r="O31" s="183">
        <v>0</v>
      </c>
      <c r="P31" s="183">
        <f t="shared" si="12"/>
        <v>0</v>
      </c>
      <c r="Q31" s="624">
        <f t="shared" ca="1" si="10"/>
        <v>222.32113357233749</v>
      </c>
      <c r="R31" s="187">
        <f t="shared" ca="1" si="15"/>
        <v>3441.3770968982776</v>
      </c>
      <c r="S31" s="187"/>
      <c r="T31" s="190">
        <f t="shared" ca="1" si="16"/>
        <v>107567.37709689827</v>
      </c>
      <c r="V31" s="189">
        <f t="shared" ca="1" si="17"/>
        <v>3219.05596332594</v>
      </c>
      <c r="W31" s="159" t="str">
        <f t="shared" si="11"/>
        <v>P.014</v>
      </c>
    </row>
    <row r="32" spans="1:23" ht="25.5" customHeight="1">
      <c r="A32" s="194" t="s">
        <v>256</v>
      </c>
      <c r="B32" s="156" t="s">
        <v>117</v>
      </c>
      <c r="C32" s="193" t="str">
        <f t="shared" ca="1" si="0"/>
        <v>Locust Grove to Lone Star 115 kV Rebuild 2.1 miles</v>
      </c>
      <c r="D32" s="181">
        <f t="shared" ca="1" si="0"/>
        <v>2014</v>
      </c>
      <c r="E32" s="621">
        <f t="shared" ca="1" si="0"/>
        <v>248552.15642857144</v>
      </c>
      <c r="F32" s="183">
        <f t="shared" ca="1" si="1"/>
        <v>0</v>
      </c>
      <c r="G32" s="183">
        <f t="shared" ca="1" si="13"/>
        <v>248552.15642857144</v>
      </c>
      <c r="H32" s="184"/>
      <c r="I32" s="185">
        <f t="shared" ca="1" si="3"/>
        <v>11643.693105987273</v>
      </c>
      <c r="J32" s="186">
        <v>184702.7728227879</v>
      </c>
      <c r="K32" s="186">
        <v>206610.43512492604</v>
      </c>
      <c r="L32" s="182">
        <f t="shared" si="14"/>
        <v>-21907.662302138138</v>
      </c>
      <c r="M32" s="182"/>
      <c r="N32" s="183">
        <v>0</v>
      </c>
      <c r="O32" s="183">
        <v>0</v>
      </c>
      <c r="P32" s="183">
        <f t="shared" si="12"/>
        <v>0</v>
      </c>
      <c r="Q32" s="624">
        <f t="shared" ca="1" si="10"/>
        <v>-708.87157372751903</v>
      </c>
      <c r="R32" s="187">
        <f t="shared" ca="1" si="15"/>
        <v>-10972.840769878385</v>
      </c>
      <c r="S32" s="187"/>
      <c r="T32" s="190">
        <f t="shared" ca="1" si="16"/>
        <v>237579.31565869306</v>
      </c>
      <c r="V32" s="189">
        <f t="shared" ca="1" si="17"/>
        <v>-10263.969196150865</v>
      </c>
      <c r="W32" s="159" t="str">
        <f t="shared" ref="W32:W39" si="18">A32</f>
        <v>P.015</v>
      </c>
    </row>
    <row r="33" spans="1:23" ht="15.75" customHeight="1">
      <c r="A33" s="194" t="s">
        <v>257</v>
      </c>
      <c r="B33" s="156" t="s">
        <v>117</v>
      </c>
      <c r="C33" s="193" t="str">
        <f t="shared" ca="1" si="0"/>
        <v>Cornville Station Conversion</v>
      </c>
      <c r="D33" s="181">
        <f t="shared" ca="1" si="0"/>
        <v>2014</v>
      </c>
      <c r="E33" s="621">
        <f t="shared" ca="1" si="0"/>
        <v>568130</v>
      </c>
      <c r="F33" s="183">
        <f t="shared" ca="1" si="1"/>
        <v>0</v>
      </c>
      <c r="G33" s="183">
        <f t="shared" ca="1" si="13"/>
        <v>568130</v>
      </c>
      <c r="H33" s="184"/>
      <c r="I33" s="185">
        <f t="shared" ca="1" si="3"/>
        <v>27122.602753487648</v>
      </c>
      <c r="J33" s="186">
        <v>421844.3480180956</v>
      </c>
      <c r="K33" s="186">
        <v>471879.45782834676</v>
      </c>
      <c r="L33" s="182">
        <f t="shared" si="14"/>
        <v>-50035.109810251161</v>
      </c>
      <c r="M33" s="182"/>
      <c r="N33" s="183">
        <v>0</v>
      </c>
      <c r="O33" s="183">
        <v>0</v>
      </c>
      <c r="P33" s="183">
        <f t="shared" si="12"/>
        <v>0</v>
      </c>
      <c r="Q33" s="624">
        <f t="shared" ca="1" si="10"/>
        <v>-1582.431184756656</v>
      </c>
      <c r="R33" s="187">
        <f t="shared" ca="1" si="15"/>
        <v>-24494.938241520169</v>
      </c>
      <c r="S33" s="187"/>
      <c r="T33" s="190">
        <f t="shared" ca="1" si="16"/>
        <v>543635.0617584798</v>
      </c>
      <c r="V33" s="189">
        <f t="shared" ca="1" si="17"/>
        <v>-22912.507056763512</v>
      </c>
      <c r="W33" s="159" t="str">
        <f t="shared" si="18"/>
        <v>P.016</v>
      </c>
    </row>
    <row r="34" spans="1:23">
      <c r="A34" s="194" t="s">
        <v>267</v>
      </c>
      <c r="B34" s="156" t="s">
        <v>117</v>
      </c>
      <c r="C34" s="193" t="str">
        <f t="shared" ca="1" si="0"/>
        <v>Grady Customer Connection</v>
      </c>
      <c r="D34" s="181">
        <f t="shared" ca="1" si="0"/>
        <v>2015</v>
      </c>
      <c r="E34" s="621">
        <f t="shared" ca="1" si="0"/>
        <v>193510.26190476189</v>
      </c>
      <c r="F34" s="183">
        <f t="shared" ca="1" si="1"/>
        <v>0</v>
      </c>
      <c r="G34" s="183">
        <f t="shared" ref="G34:G39" ca="1" si="19">+E34+F34</f>
        <v>193510.26190476189</v>
      </c>
      <c r="H34" s="184"/>
      <c r="I34" s="185">
        <f t="shared" ca="1" si="3"/>
        <v>9319.4896836397238</v>
      </c>
      <c r="J34" s="186">
        <v>143896.17778863962</v>
      </c>
      <c r="K34" s="186">
        <v>160963.75518005501</v>
      </c>
      <c r="L34" s="182">
        <f t="shared" ref="L34:L39" si="20">+J34-K34</f>
        <v>-17067.577391415398</v>
      </c>
      <c r="M34" s="182"/>
      <c r="N34" s="183">
        <v>0</v>
      </c>
      <c r="O34" s="183">
        <v>0</v>
      </c>
      <c r="P34" s="183">
        <f t="shared" ref="P34:P39" si="21">+N34-O34</f>
        <v>0</v>
      </c>
      <c r="Q34" s="624">
        <f t="shared" ca="1" si="10"/>
        <v>-535.11453725421507</v>
      </c>
      <c r="R34" s="187">
        <f t="shared" ref="R34:R39" ca="1" si="22">I34+L34+P34+Q34</f>
        <v>-8283.20224502989</v>
      </c>
      <c r="S34" s="187"/>
      <c r="T34" s="190">
        <f t="shared" ref="T34:T39" ca="1" si="23">+G34+R34</f>
        <v>185227.05965973201</v>
      </c>
      <c r="U34" s="195"/>
      <c r="V34" s="189">
        <f t="shared" ref="V34:V39" ca="1" si="24">+I34+L34+P34</f>
        <v>-7748.0877077756741</v>
      </c>
      <c r="W34" s="159" t="str">
        <f t="shared" si="18"/>
        <v>P.017</v>
      </c>
    </row>
    <row r="35" spans="1:23">
      <c r="A35" s="194" t="s">
        <v>268</v>
      </c>
      <c r="B35" s="156" t="s">
        <v>117</v>
      </c>
      <c r="C35" s="193" t="str">
        <f t="shared" ca="1" si="0"/>
        <v>Darlington-Red Rock 138 kV line</v>
      </c>
      <c r="D35" s="181">
        <f t="shared" ca="1" si="0"/>
        <v>2014</v>
      </c>
      <c r="E35" s="621">
        <f t="shared" ca="1" si="0"/>
        <v>191574.82976190478</v>
      </c>
      <c r="F35" s="183">
        <f t="shared" ca="1" si="1"/>
        <v>0</v>
      </c>
      <c r="G35" s="196">
        <f t="shared" ca="1" si="19"/>
        <v>191574.82976190478</v>
      </c>
      <c r="H35" s="197"/>
      <c r="I35" s="185">
        <f t="shared" ca="1" si="3"/>
        <v>11519.32583094525</v>
      </c>
      <c r="J35" s="186">
        <v>144866.61995301666</v>
      </c>
      <c r="K35" s="186">
        <v>162049.30183851198</v>
      </c>
      <c r="L35" s="198">
        <f t="shared" si="20"/>
        <v>-17182.681885495316</v>
      </c>
      <c r="M35" s="198"/>
      <c r="N35" s="196">
        <v>0</v>
      </c>
      <c r="O35" s="196">
        <v>0</v>
      </c>
      <c r="P35" s="196">
        <f t="shared" si="21"/>
        <v>0</v>
      </c>
      <c r="Q35" s="624">
        <f t="shared" ca="1" si="10"/>
        <v>-391.13446681754539</v>
      </c>
      <c r="R35" s="199">
        <f t="shared" ca="1" si="22"/>
        <v>-6054.4905213676111</v>
      </c>
      <c r="S35" s="199"/>
      <c r="T35" s="200">
        <f t="shared" ca="1" si="23"/>
        <v>185520.33924053717</v>
      </c>
      <c r="U35" s="195"/>
      <c r="V35" s="189">
        <f t="shared" ca="1" si="24"/>
        <v>-5663.3560545500659</v>
      </c>
      <c r="W35" s="159" t="str">
        <f t="shared" si="18"/>
        <v>P.018</v>
      </c>
    </row>
    <row r="36" spans="1:23">
      <c r="A36" s="194" t="s">
        <v>275</v>
      </c>
      <c r="B36" s="156" t="s">
        <v>117</v>
      </c>
      <c r="C36" s="193" t="str">
        <f t="shared" ca="1" si="0"/>
        <v>Valliant-NW Texarkana 345 kV</v>
      </c>
      <c r="D36" s="181">
        <f t="shared" ca="1" si="0"/>
        <v>2017</v>
      </c>
      <c r="E36" s="621">
        <f t="shared" ca="1" si="0"/>
        <v>158554.07703900614</v>
      </c>
      <c r="F36" s="183">
        <f t="shared" ca="1" si="1"/>
        <v>0</v>
      </c>
      <c r="G36" s="196">
        <f t="shared" ca="1" si="19"/>
        <v>158554.07703900614</v>
      </c>
      <c r="H36" s="197"/>
      <c r="I36" s="185">
        <f t="shared" ca="1" si="3"/>
        <v>7862.1077609148633</v>
      </c>
      <c r="J36" s="186">
        <v>116293.15403814024</v>
      </c>
      <c r="K36" s="186">
        <v>130086.72685668421</v>
      </c>
      <c r="L36" s="198">
        <f t="shared" si="20"/>
        <v>-13793.572818543966</v>
      </c>
      <c r="M36" s="198"/>
      <c r="N36" s="196">
        <v>0</v>
      </c>
      <c r="O36" s="196">
        <v>0</v>
      </c>
      <c r="P36" s="196">
        <f t="shared" si="21"/>
        <v>0</v>
      </c>
      <c r="Q36" s="624">
        <f t="shared" ca="1" si="10"/>
        <v>-409.6511680382024</v>
      </c>
      <c r="R36" s="199">
        <f t="shared" ca="1" si="22"/>
        <v>-6341.1162256673051</v>
      </c>
      <c r="S36" s="199"/>
      <c r="T36" s="200">
        <f t="shared" ca="1" si="23"/>
        <v>152212.96081333884</v>
      </c>
      <c r="U36" s="195"/>
      <c r="V36" s="189">
        <f t="shared" ca="1" si="24"/>
        <v>-5931.4650576291024</v>
      </c>
      <c r="W36" s="159" t="str">
        <f t="shared" si="18"/>
        <v>P.019</v>
      </c>
    </row>
    <row r="37" spans="1:23">
      <c r="A37" s="194" t="s">
        <v>276</v>
      </c>
      <c r="B37" s="156" t="s">
        <v>117</v>
      </c>
      <c r="C37" s="193" t="str">
        <f t="shared" ca="1" si="0"/>
        <v>Sayre 138 kV Capacitor Bank Addition</v>
      </c>
      <c r="D37" s="181">
        <f t="shared" ca="1" si="0"/>
        <v>2018</v>
      </c>
      <c r="E37" s="621">
        <f t="shared" ca="1" si="0"/>
        <v>241564.55964853393</v>
      </c>
      <c r="F37" s="183">
        <f t="shared" ca="1" si="1"/>
        <v>0</v>
      </c>
      <c r="G37" s="183">
        <f t="shared" ca="1" si="19"/>
        <v>241564.55964853393</v>
      </c>
      <c r="H37" s="184"/>
      <c r="I37" s="185">
        <f t="shared" ca="1" si="3"/>
        <v>16885.559479310585</v>
      </c>
      <c r="J37" s="186">
        <v>230956.55149614011</v>
      </c>
      <c r="K37" s="186">
        <v>258350.39111921025</v>
      </c>
      <c r="L37" s="198">
        <f t="shared" si="20"/>
        <v>-27393.839623070147</v>
      </c>
      <c r="M37" s="198"/>
      <c r="N37" s="196">
        <v>0</v>
      </c>
      <c r="O37" s="196">
        <v>0</v>
      </c>
      <c r="P37" s="196">
        <f t="shared" si="21"/>
        <v>0</v>
      </c>
      <c r="Q37" s="624">
        <f t="shared" ca="1" si="10"/>
        <v>-725.74468417831679</v>
      </c>
      <c r="R37" s="199">
        <f t="shared" ca="1" si="22"/>
        <v>-11234.024827937879</v>
      </c>
      <c r="S37" s="199"/>
      <c r="T37" s="200">
        <f t="shared" ca="1" si="23"/>
        <v>230330.53482059605</v>
      </c>
      <c r="U37" s="195"/>
      <c r="V37" s="189">
        <f t="shared" ca="1" si="24"/>
        <v>-10508.280143759563</v>
      </c>
      <c r="W37" s="159" t="str">
        <f t="shared" si="18"/>
        <v>P.020</v>
      </c>
    </row>
    <row r="38" spans="1:23">
      <c r="A38" s="194" t="s">
        <v>277</v>
      </c>
      <c r="B38" s="156" t="s">
        <v>117</v>
      </c>
      <c r="C38" s="193" t="str">
        <f t="shared" ca="1" si="0"/>
        <v>Darlington-Roman Nose 138 kV</v>
      </c>
      <c r="D38" s="181">
        <f t="shared" ca="1" si="0"/>
        <v>2017</v>
      </c>
      <c r="E38" s="621">
        <f t="shared" ca="1" si="0"/>
        <v>39805.169882695685</v>
      </c>
      <c r="F38" s="183">
        <f t="shared" ca="1" si="1"/>
        <v>0</v>
      </c>
      <c r="G38" s="183">
        <f t="shared" ca="1" si="19"/>
        <v>39805.169882695685</v>
      </c>
      <c r="H38" s="184"/>
      <c r="I38" s="185">
        <f t="shared" ca="1" si="3"/>
        <v>1544.8698073736887</v>
      </c>
      <c r="J38" s="186">
        <v>41634.718227919562</v>
      </c>
      <c r="K38" s="186">
        <v>46573.027128441943</v>
      </c>
      <c r="L38" s="198">
        <f t="shared" si="20"/>
        <v>-4938.308900522381</v>
      </c>
      <c r="M38" s="198"/>
      <c r="N38" s="196">
        <v>0</v>
      </c>
      <c r="O38" s="196">
        <v>0</v>
      </c>
      <c r="P38" s="196">
        <f t="shared" si="21"/>
        <v>0</v>
      </c>
      <c r="Q38" s="624">
        <f t="shared" ca="1" si="10"/>
        <v>-234.36474373002798</v>
      </c>
      <c r="R38" s="199">
        <f t="shared" ca="1" si="22"/>
        <v>-3627.8038368787202</v>
      </c>
      <c r="S38" s="199"/>
      <c r="T38" s="200">
        <f t="shared" ca="1" si="23"/>
        <v>36177.366045816962</v>
      </c>
      <c r="U38" s="195"/>
      <c r="V38" s="189">
        <f t="shared" ca="1" si="24"/>
        <v>-3393.4390931486923</v>
      </c>
      <c r="W38" s="159" t="str">
        <f t="shared" si="18"/>
        <v>P.021</v>
      </c>
    </row>
    <row r="39" spans="1:23">
      <c r="A39" s="194" t="s">
        <v>278</v>
      </c>
      <c r="B39" s="156" t="s">
        <v>117</v>
      </c>
      <c r="C39" s="193" t="str">
        <f t="shared" ca="1" si="0"/>
        <v>Northeastern Station 138 kV Terminal Upgrades</v>
      </c>
      <c r="D39" s="181">
        <f t="shared" ca="1" si="0"/>
        <v>2018</v>
      </c>
      <c r="E39" s="621">
        <f t="shared" ca="1" si="0"/>
        <v>29614.266782481478</v>
      </c>
      <c r="F39" s="183">
        <f t="shared" ca="1" si="1"/>
        <v>0</v>
      </c>
      <c r="G39" s="183">
        <f t="shared" ca="1" si="19"/>
        <v>29614.266782481478</v>
      </c>
      <c r="H39" s="184"/>
      <c r="I39" s="185">
        <f t="shared" ca="1" si="3"/>
        <v>1495.6762757638171</v>
      </c>
      <c r="J39" s="186">
        <v>23493.6762410347</v>
      </c>
      <c r="K39" s="186">
        <v>26280.269628120299</v>
      </c>
      <c r="L39" s="198">
        <f t="shared" si="20"/>
        <v>-2786.5933870855988</v>
      </c>
      <c r="M39" s="198"/>
      <c r="N39" s="196">
        <v>0</v>
      </c>
      <c r="O39" s="196">
        <v>0</v>
      </c>
      <c r="P39" s="196">
        <f t="shared" si="21"/>
        <v>0</v>
      </c>
      <c r="Q39" s="624">
        <f t="shared" ca="1" si="10"/>
        <v>-89.15600064326263</v>
      </c>
      <c r="R39" s="199">
        <f t="shared" ca="1" si="22"/>
        <v>-1380.0731119650443</v>
      </c>
      <c r="S39" s="199"/>
      <c r="T39" s="200">
        <f t="shared" ca="1" si="23"/>
        <v>28234.193670516433</v>
      </c>
      <c r="U39" s="195"/>
      <c r="V39" s="189">
        <f t="shared" ca="1" si="24"/>
        <v>-1290.9171113217817</v>
      </c>
      <c r="W39" s="159" t="str">
        <f t="shared" si="18"/>
        <v>P.022</v>
      </c>
    </row>
    <row r="40" spans="1:23">
      <c r="A40" s="194" t="s">
        <v>309</v>
      </c>
      <c r="B40" s="156" t="s">
        <v>117</v>
      </c>
      <c r="C40" s="193" t="str">
        <f t="shared" ca="1" si="0"/>
        <v>Elk City 138KV Move Load</v>
      </c>
      <c r="D40" s="181">
        <f t="shared" ca="1" si="0"/>
        <v>2018</v>
      </c>
      <c r="E40" s="621">
        <f t="shared" ca="1" si="0"/>
        <v>138269.97206377087</v>
      </c>
      <c r="F40" s="183">
        <f t="shared" ca="1" si="1"/>
        <v>0</v>
      </c>
      <c r="G40" s="183">
        <f t="shared" ref="G40:G45" ca="1" si="25">+E40+F40</f>
        <v>138269.97206377087</v>
      </c>
      <c r="H40" s="184"/>
      <c r="I40" s="185">
        <f t="shared" ca="1" si="3"/>
        <v>3967.2982258127013</v>
      </c>
      <c r="J40" s="186">
        <v>95792.523927340022</v>
      </c>
      <c r="K40" s="186">
        <v>107154.50963658075</v>
      </c>
      <c r="L40" s="198">
        <f t="shared" ref="L40:L45" si="26">+J40-K40</f>
        <v>-11361.985709240733</v>
      </c>
      <c r="M40" s="198"/>
      <c r="N40" s="196">
        <v>0</v>
      </c>
      <c r="O40" s="196">
        <v>0</v>
      </c>
      <c r="P40" s="196">
        <f t="shared" ref="P40:P45" si="27">+N40-O40</f>
        <v>0</v>
      </c>
      <c r="Q40" s="624">
        <f t="shared" ca="1" si="10"/>
        <v>-510.70727643713093</v>
      </c>
      <c r="R40" s="199">
        <f t="shared" ref="R40:R45" ca="1" si="28">I40+L40+P40+Q40</f>
        <v>-7905.3947598651621</v>
      </c>
      <c r="S40" s="199"/>
      <c r="T40" s="200">
        <f t="shared" ref="T40:T48" ca="1" si="29">+G40+R40</f>
        <v>130364.57730390571</v>
      </c>
      <c r="U40" s="195"/>
      <c r="V40" s="189">
        <f t="shared" ref="V40:V48" ca="1" si="30">+I40+L40+P40</f>
        <v>-7394.6874834280316</v>
      </c>
      <c r="W40" s="159" t="str">
        <f>A40</f>
        <v>P.023</v>
      </c>
    </row>
    <row r="41" spans="1:23">
      <c r="A41" s="194" t="s">
        <v>310</v>
      </c>
      <c r="B41" s="156" t="s">
        <v>117</v>
      </c>
      <c r="C41" s="193" t="str">
        <f t="shared" ca="1" si="0"/>
        <v>Duncan-Comanche Tap 69 KV Rebuild</v>
      </c>
      <c r="D41" s="181">
        <f t="shared" ca="1" si="0"/>
        <v>2018</v>
      </c>
      <c r="E41" s="621">
        <f t="shared" ca="1" si="0"/>
        <v>163793.91335875148</v>
      </c>
      <c r="F41" s="183">
        <f t="shared" ca="1" si="1"/>
        <v>0</v>
      </c>
      <c r="G41" s="183">
        <f t="shared" ca="1" si="25"/>
        <v>163793.91335875148</v>
      </c>
      <c r="H41" s="184"/>
      <c r="I41" s="185">
        <f t="shared" ca="1" si="3"/>
        <v>7881.8755335064197</v>
      </c>
      <c r="J41" s="186">
        <v>4231.6001095233987</v>
      </c>
      <c r="K41" s="186">
        <v>4733.5117201632365</v>
      </c>
      <c r="L41" s="198">
        <f t="shared" si="26"/>
        <v>-501.91161063983782</v>
      </c>
      <c r="M41" s="198"/>
      <c r="N41" s="196">
        <v>0</v>
      </c>
      <c r="O41" s="196">
        <v>0</v>
      </c>
      <c r="P41" s="196">
        <f t="shared" si="27"/>
        <v>0</v>
      </c>
      <c r="Q41" s="624">
        <f t="shared" ca="1" si="10"/>
        <v>509.69040729551449</v>
      </c>
      <c r="R41" s="199">
        <f t="shared" ca="1" si="28"/>
        <v>7889.6543301620968</v>
      </c>
      <c r="S41" s="199"/>
      <c r="T41" s="200">
        <f t="shared" ca="1" si="29"/>
        <v>171683.56768891358</v>
      </c>
      <c r="U41" s="195"/>
      <c r="V41" s="189">
        <f t="shared" ca="1" si="30"/>
        <v>7379.9639228665819</v>
      </c>
      <c r="W41" s="159" t="str">
        <f>A41</f>
        <v>P.024</v>
      </c>
    </row>
    <row r="42" spans="1:23">
      <c r="A42" s="194" t="s">
        <v>322</v>
      </c>
      <c r="B42" s="156" t="s">
        <v>117</v>
      </c>
      <c r="C42" s="193" t="str">
        <f t="shared" ca="1" si="0"/>
        <v>Fort Towson-Valliant Line Rebuild</v>
      </c>
      <c r="D42" s="181">
        <f t="shared" ca="1" si="0"/>
        <v>2018</v>
      </c>
      <c r="E42" s="621">
        <f t="shared" ca="1" si="0"/>
        <v>33648.35187112401</v>
      </c>
      <c r="F42" s="183">
        <f t="shared" ca="1" si="1"/>
        <v>0</v>
      </c>
      <c r="G42" s="183">
        <f t="shared" ca="1" si="25"/>
        <v>33648.35187112401</v>
      </c>
      <c r="H42" s="197"/>
      <c r="I42" s="185">
        <f t="shared" ca="1" si="3"/>
        <v>2746.7376804074811</v>
      </c>
      <c r="J42" s="186">
        <v>96724.215528070854</v>
      </c>
      <c r="K42" s="186">
        <v>108196.70951310307</v>
      </c>
      <c r="L42" s="198">
        <f t="shared" si="26"/>
        <v>-11472.493985032212</v>
      </c>
      <c r="M42" s="198"/>
      <c r="N42" s="196">
        <v>0</v>
      </c>
      <c r="O42" s="196">
        <v>0</v>
      </c>
      <c r="P42" s="196">
        <f t="shared" si="27"/>
        <v>0</v>
      </c>
      <c r="Q42" s="624">
        <f t="shared" ca="1" si="10"/>
        <v>-602.63631792092497</v>
      </c>
      <c r="R42" s="199">
        <f t="shared" ca="1" si="28"/>
        <v>-9328.3926225456562</v>
      </c>
      <c r="S42" s="199"/>
      <c r="T42" s="200">
        <f t="shared" ca="1" si="29"/>
        <v>24319.959248578354</v>
      </c>
      <c r="U42" s="195"/>
      <c r="V42" s="189">
        <f t="shared" ca="1" si="30"/>
        <v>-8725.7563046247305</v>
      </c>
      <c r="W42" s="159" t="str">
        <f>A42</f>
        <v>P.025</v>
      </c>
    </row>
    <row r="43" spans="1:23">
      <c r="A43" s="194" t="s">
        <v>330</v>
      </c>
      <c r="B43" s="156" t="s">
        <v>117</v>
      </c>
      <c r="C43" s="617" t="str">
        <f t="shared" ca="1" si="0"/>
        <v>Tulsa Southeast - E. 61st St 138 kV Rebuild</v>
      </c>
      <c r="D43" s="181">
        <f t="shared" ca="1" si="0"/>
        <v>2019</v>
      </c>
      <c r="E43" s="621">
        <f t="shared" ca="1" si="0"/>
        <v>1019988.1643084703</v>
      </c>
      <c r="F43" s="183">
        <f t="shared" ca="1" si="1"/>
        <v>0</v>
      </c>
      <c r="G43" s="183">
        <f t="shared" ca="1" si="25"/>
        <v>1019988.1643084703</v>
      </c>
      <c r="H43" s="197"/>
      <c r="I43" s="185">
        <f t="shared" ca="1" si="3"/>
        <v>183480.21872727713</v>
      </c>
      <c r="J43" s="186">
        <v>934062.15757277235</v>
      </c>
      <c r="K43" s="186">
        <v>1044851.6059636965</v>
      </c>
      <c r="L43" s="198">
        <f t="shared" si="26"/>
        <v>-110789.44839092414</v>
      </c>
      <c r="M43" s="198"/>
      <c r="N43" s="196">
        <v>0</v>
      </c>
      <c r="O43" s="196">
        <v>0</v>
      </c>
      <c r="P43" s="196">
        <f t="shared" si="27"/>
        <v>0</v>
      </c>
      <c r="Q43" s="624">
        <f t="shared" ca="1" si="10"/>
        <v>5020.3210647904216</v>
      </c>
      <c r="R43" s="199">
        <f t="shared" ca="1" si="28"/>
        <v>77711.091401143407</v>
      </c>
      <c r="S43" s="199"/>
      <c r="T43" s="200">
        <f t="shared" ca="1" si="29"/>
        <v>1097699.2557096137</v>
      </c>
      <c r="U43" s="195"/>
      <c r="V43" s="189">
        <f t="shared" ca="1" si="30"/>
        <v>72690.770336352987</v>
      </c>
      <c r="W43" s="159" t="str">
        <f>A43</f>
        <v>P.026</v>
      </c>
    </row>
    <row r="44" spans="1:23">
      <c r="A44" s="194" t="s">
        <v>331</v>
      </c>
      <c r="B44" s="156" t="s">
        <v>117</v>
      </c>
      <c r="C44" s="618" t="str">
        <f t="shared" ca="1" si="0"/>
        <v>Broken Arrow North-Lynn Lane East 138 kV</v>
      </c>
      <c r="D44" s="181">
        <f t="shared" ca="1" si="0"/>
        <v>2019</v>
      </c>
      <c r="E44" s="621">
        <f t="shared" ca="1" si="0"/>
        <v>635766.39004328649</v>
      </c>
      <c r="F44" s="183">
        <f t="shared" ca="1" si="1"/>
        <v>0</v>
      </c>
      <c r="G44" s="183">
        <f t="shared" ca="1" si="25"/>
        <v>635766.39004328649</v>
      </c>
      <c r="H44" s="197"/>
      <c r="I44" s="185">
        <f t="shared" ca="1" si="3"/>
        <v>130513.70880755782</v>
      </c>
      <c r="J44" s="186">
        <v>552918.85124067403</v>
      </c>
      <c r="K44" s="186">
        <v>618500.75501148938</v>
      </c>
      <c r="L44" s="198">
        <f t="shared" si="26"/>
        <v>-65581.903770815348</v>
      </c>
      <c r="M44" s="198"/>
      <c r="N44" s="196">
        <v>0</v>
      </c>
      <c r="O44" s="196">
        <v>0</v>
      </c>
      <c r="P44" s="196">
        <f t="shared" si="27"/>
        <v>0</v>
      </c>
      <c r="Q44" s="624">
        <f t="shared" ca="1" si="10"/>
        <v>4484.4552766804254</v>
      </c>
      <c r="R44" s="199">
        <f t="shared" ca="1" si="28"/>
        <v>69416.260313422899</v>
      </c>
      <c r="S44" s="199"/>
      <c r="T44" s="200">
        <f t="shared" ca="1" si="29"/>
        <v>705182.65035670938</v>
      </c>
      <c r="U44" s="195"/>
      <c r="V44" s="189">
        <f t="shared" ca="1" si="30"/>
        <v>64931.805036742473</v>
      </c>
      <c r="W44" s="159" t="str">
        <f>A44</f>
        <v>P.027</v>
      </c>
    </row>
    <row r="45" spans="1:23">
      <c r="A45" s="194" t="s">
        <v>338</v>
      </c>
      <c r="B45" s="156" t="s">
        <v>117</v>
      </c>
      <c r="C45" s="620" t="str">
        <f t="shared" ca="1" si="0"/>
        <v>Keystone Dam - Wekiwa 138 kV</v>
      </c>
      <c r="D45" s="181">
        <f t="shared" ca="1" si="0"/>
        <v>2020</v>
      </c>
      <c r="E45" s="621">
        <f t="shared" ca="1" si="0"/>
        <v>322643.1060760754</v>
      </c>
      <c r="F45" s="183">
        <f t="shared" ca="1" si="1"/>
        <v>0</v>
      </c>
      <c r="G45" s="183">
        <f t="shared" ca="1" si="25"/>
        <v>322643.1060760754</v>
      </c>
      <c r="H45" s="197"/>
      <c r="I45" s="185">
        <f t="shared" ca="1" si="3"/>
        <v>36368.72214213702</v>
      </c>
      <c r="J45" s="186">
        <v>109448.17204091245</v>
      </c>
      <c r="K45" s="186">
        <v>122429.85908336492</v>
      </c>
      <c r="L45" s="198">
        <f t="shared" si="26"/>
        <v>-12981.687042452468</v>
      </c>
      <c r="M45" s="198"/>
      <c r="N45" s="196">
        <v>0</v>
      </c>
      <c r="O45" s="196">
        <v>0</v>
      </c>
      <c r="P45" s="196">
        <f t="shared" si="27"/>
        <v>0</v>
      </c>
      <c r="Q45" s="624">
        <f ca="1">+V45/$V$51 * $Q$51</f>
        <v>1615.2040267376535</v>
      </c>
      <c r="R45" s="199">
        <f t="shared" ca="1" si="28"/>
        <v>25002.239126422206</v>
      </c>
      <c r="S45" s="199"/>
      <c r="T45" s="200">
        <f t="shared" ca="1" si="29"/>
        <v>347645.34520249761</v>
      </c>
      <c r="U45" s="195"/>
      <c r="V45" s="189">
        <f t="shared" ca="1" si="30"/>
        <v>23387.035099684552</v>
      </c>
      <c r="W45" s="629" t="s">
        <v>338</v>
      </c>
    </row>
    <row r="46" spans="1:23">
      <c r="A46" s="194" t="s">
        <v>377</v>
      </c>
      <c r="B46" s="156" t="s">
        <v>117</v>
      </c>
      <c r="C46" s="626" t="str">
        <f t="shared" ca="1" si="0"/>
        <v>Tulsa SE - S Hudson 138 kV</v>
      </c>
      <c r="D46" s="181">
        <f t="shared" ca="1" si="0"/>
        <v>2022</v>
      </c>
      <c r="E46" s="621">
        <f t="shared" ca="1" si="0"/>
        <v>98065.578092049604</v>
      </c>
      <c r="F46" s="183">
        <f t="shared" ca="1" si="1"/>
        <v>0</v>
      </c>
      <c r="G46" s="183">
        <f t="shared" ref="G46:G48" ca="1" si="31">+E46+F46</f>
        <v>98065.578092049604</v>
      </c>
      <c r="H46" s="197"/>
      <c r="I46" s="185">
        <f t="shared" ca="1" si="3"/>
        <v>0</v>
      </c>
      <c r="J46" s="186">
        <v>0</v>
      </c>
      <c r="K46" s="186">
        <v>0</v>
      </c>
      <c r="L46" s="198">
        <f t="shared" ref="L46:L48" si="32">+J46-K46</f>
        <v>0</v>
      </c>
      <c r="M46" s="198"/>
      <c r="N46" s="196">
        <v>0</v>
      </c>
      <c r="O46" s="196">
        <v>0</v>
      </c>
      <c r="P46" s="196">
        <f t="shared" ref="P46:P48" si="33">+N46-O46</f>
        <v>0</v>
      </c>
      <c r="Q46" s="624">
        <f t="shared" ref="Q46:Q48" ca="1" si="34">+V46/$V$51 * $Q$51</f>
        <v>0</v>
      </c>
      <c r="R46" s="199">
        <f t="shared" ref="R46:R48" ca="1" si="35">I46+L46+P46+Q46</f>
        <v>0</v>
      </c>
      <c r="S46" s="199"/>
      <c r="T46" s="200">
        <f t="shared" ca="1" si="29"/>
        <v>98065.578092049604</v>
      </c>
      <c r="U46" s="195"/>
      <c r="V46" s="189">
        <f t="shared" ca="1" si="30"/>
        <v>0</v>
      </c>
      <c r="W46" s="629" t="s">
        <v>377</v>
      </c>
    </row>
    <row r="47" spans="1:23">
      <c r="A47" s="194" t="s">
        <v>378</v>
      </c>
      <c r="B47" s="156" t="s">
        <v>117</v>
      </c>
      <c r="C47" s="626" t="str">
        <f t="shared" ca="1" si="0"/>
        <v>Tulsa SE - E 21st St Tap 138 kV</v>
      </c>
      <c r="D47" s="181">
        <f t="shared" ca="1" si="0"/>
        <v>2022</v>
      </c>
      <c r="E47" s="621">
        <f t="shared" ca="1" si="0"/>
        <v>90185.047613691771</v>
      </c>
      <c r="F47" s="183">
        <f t="shared" ca="1" si="1"/>
        <v>0</v>
      </c>
      <c r="G47" s="183">
        <f t="shared" ca="1" si="31"/>
        <v>90185.047613691771</v>
      </c>
      <c r="H47" s="197"/>
      <c r="I47" s="185">
        <f t="shared" ca="1" si="3"/>
        <v>0</v>
      </c>
      <c r="J47" s="186">
        <v>0</v>
      </c>
      <c r="K47" s="186">
        <v>0</v>
      </c>
      <c r="L47" s="198">
        <f t="shared" si="32"/>
        <v>0</v>
      </c>
      <c r="M47" s="198"/>
      <c r="N47" s="196">
        <v>0</v>
      </c>
      <c r="O47" s="196">
        <v>0</v>
      </c>
      <c r="P47" s="196">
        <f t="shared" si="33"/>
        <v>0</v>
      </c>
      <c r="Q47" s="624">
        <f t="shared" ca="1" si="34"/>
        <v>0</v>
      </c>
      <c r="R47" s="199">
        <f t="shared" ca="1" si="35"/>
        <v>0</v>
      </c>
      <c r="S47" s="199"/>
      <c r="T47" s="200">
        <f t="shared" ca="1" si="29"/>
        <v>90185.047613691771</v>
      </c>
      <c r="U47" s="195"/>
      <c r="V47" s="189">
        <f t="shared" ca="1" si="30"/>
        <v>0</v>
      </c>
      <c r="W47" s="629" t="s">
        <v>378</v>
      </c>
    </row>
    <row r="48" spans="1:23">
      <c r="A48" s="194" t="s">
        <v>379</v>
      </c>
      <c r="B48" s="156" t="s">
        <v>117</v>
      </c>
      <c r="C48" s="626" t="str">
        <f t="shared" ca="1" si="0"/>
        <v>Pryor Junction 138/115 kV</v>
      </c>
      <c r="D48" s="181">
        <f t="shared" ca="1" si="0"/>
        <v>2022</v>
      </c>
      <c r="E48" s="621">
        <f t="shared" ca="1" si="0"/>
        <v>3024.2132561392209</v>
      </c>
      <c r="F48" s="183">
        <f t="shared" ca="1" si="1"/>
        <v>0</v>
      </c>
      <c r="G48" s="183">
        <f t="shared" ca="1" si="31"/>
        <v>3024.2132561392209</v>
      </c>
      <c r="H48" s="197"/>
      <c r="I48" s="185">
        <f t="shared" ca="1" si="3"/>
        <v>0</v>
      </c>
      <c r="J48" s="186">
        <v>0</v>
      </c>
      <c r="K48" s="186">
        <v>0</v>
      </c>
      <c r="L48" s="198">
        <f t="shared" si="32"/>
        <v>0</v>
      </c>
      <c r="M48" s="198"/>
      <c r="N48" s="196">
        <v>0</v>
      </c>
      <c r="O48" s="196">
        <v>0</v>
      </c>
      <c r="P48" s="196">
        <f t="shared" si="33"/>
        <v>0</v>
      </c>
      <c r="Q48" s="624">
        <f t="shared" ca="1" si="34"/>
        <v>0</v>
      </c>
      <c r="R48" s="199">
        <f t="shared" ca="1" si="35"/>
        <v>0</v>
      </c>
      <c r="S48" s="199"/>
      <c r="T48" s="200">
        <f t="shared" ca="1" si="29"/>
        <v>3024.2132561392209</v>
      </c>
      <c r="U48" s="195"/>
      <c r="V48" s="189">
        <f t="shared" ca="1" si="30"/>
        <v>0</v>
      </c>
      <c r="W48" s="629" t="s">
        <v>379</v>
      </c>
    </row>
    <row r="49" spans="1:23">
      <c r="A49" s="194"/>
      <c r="B49" s="156"/>
      <c r="C49" s="626"/>
      <c r="D49" s="181"/>
      <c r="E49" s="621"/>
      <c r="F49" s="183"/>
      <c r="G49" s="183"/>
      <c r="H49" s="197"/>
      <c r="I49" s="185"/>
      <c r="J49" s="186"/>
      <c r="K49" s="186"/>
      <c r="L49" s="198"/>
      <c r="M49" s="198"/>
      <c r="N49" s="196"/>
      <c r="O49" s="196"/>
      <c r="P49" s="196"/>
      <c r="Q49" s="624"/>
      <c r="R49" s="199"/>
      <c r="S49" s="199"/>
      <c r="T49" s="200"/>
      <c r="U49" s="195"/>
      <c r="V49" s="189"/>
      <c r="W49" s="159"/>
    </row>
    <row r="50" spans="1:23">
      <c r="A50" s="159"/>
      <c r="B50" s="159"/>
      <c r="C50" s="159"/>
      <c r="D50" s="156"/>
      <c r="E50" s="199"/>
      <c r="F50" s="199"/>
      <c r="G50" s="199"/>
      <c r="H50" s="187"/>
      <c r="I50" s="199"/>
      <c r="J50" s="199"/>
      <c r="K50" s="201"/>
      <c r="L50" s="199"/>
      <c r="M50" s="199"/>
      <c r="N50" s="199"/>
      <c r="O50" s="199"/>
      <c r="P50" s="199"/>
      <c r="Q50" s="625"/>
      <c r="R50" s="199"/>
      <c r="S50" s="187"/>
      <c r="T50" s="200"/>
      <c r="V50" s="179"/>
    </row>
    <row r="51" spans="1:23">
      <c r="A51" s="159"/>
      <c r="B51" s="159"/>
      <c r="C51" s="202" t="s">
        <v>177</v>
      </c>
      <c r="D51" s="156"/>
      <c r="E51" s="187">
        <f ca="1">SUM(E18:E50)</f>
        <v>8173098.1037967186</v>
      </c>
      <c r="F51" s="187">
        <f ca="1">SUM(F18:F50)</f>
        <v>0</v>
      </c>
      <c r="G51" s="187">
        <f ca="1">SUM(G18:G50)</f>
        <v>8173098.1037967186</v>
      </c>
      <c r="H51" s="187"/>
      <c r="I51" s="187">
        <f ca="1">SUM(I18:I50)</f>
        <v>634841.72516180703</v>
      </c>
      <c r="J51" s="187">
        <f>SUM(J18:J50)</f>
        <v>6058346.9541358249</v>
      </c>
      <c r="K51" s="187">
        <v>6776929.6648985725</v>
      </c>
      <c r="L51" s="187">
        <f>SUM(L18:L50)</f>
        <v>-718582.71076274756</v>
      </c>
      <c r="M51" s="187">
        <f>SUM(M18:M42)</f>
        <v>0</v>
      </c>
      <c r="N51" s="187">
        <f>SUM(N18:N50)</f>
        <v>0</v>
      </c>
      <c r="O51" s="187">
        <f>SUM(O18:O50)</f>
        <v>0</v>
      </c>
      <c r="P51" s="187">
        <f>SUM(P18:P50)</f>
        <v>0</v>
      </c>
      <c r="Q51" s="624">
        <v>-5783.4939986661047</v>
      </c>
      <c r="R51" s="187">
        <f ca="1">SUM(R18:R50)</f>
        <v>-89524.479599606668</v>
      </c>
      <c r="S51" s="187">
        <f>SUM(S18:S42)</f>
        <v>0</v>
      </c>
      <c r="T51" s="190">
        <f ca="1">SUM(T18:T50)</f>
        <v>8083573.6241971096</v>
      </c>
      <c r="V51" s="190">
        <f ca="1">SUM(V18:V50)</f>
        <v>-83740.985600940621</v>
      </c>
      <c r="W51" s="203" t="s">
        <v>270</v>
      </c>
    </row>
    <row r="52" spans="1:23" ht="13.5" thickBot="1">
      <c r="A52" s="159"/>
      <c r="B52" s="159"/>
      <c r="C52" s="204"/>
      <c r="D52" s="159"/>
      <c r="E52" s="205"/>
      <c r="F52" s="206" t="str">
        <f ca="1">IF(F51=PSO.WS.F.BPU.ATRR.Projected!O19,"","Error")</f>
        <v/>
      </c>
      <c r="G52" s="206"/>
      <c r="H52" s="159"/>
      <c r="I52" s="207" t="str">
        <f ca="1">IF(ROUND(I51,0)=ROUND('PSO.WS.G.BPU.ATRR.True-up'!N19,0),"","Error")</f>
        <v/>
      </c>
      <c r="J52" s="208"/>
      <c r="K52" s="209" t="str">
        <f>IF(K51=SUM(K18:K50),"","Error -- check allocations above).")</f>
        <v/>
      </c>
      <c r="L52" s="210"/>
      <c r="M52" s="210"/>
      <c r="N52" s="210"/>
      <c r="O52" s="210"/>
      <c r="P52" s="210"/>
      <c r="Q52" s="630" t="str">
        <f ca="1">IF(Q51=SUM(Q18:Q48),"","Error -- check allocations above).")</f>
        <v/>
      </c>
      <c r="R52" s="187"/>
      <c r="S52" s="187"/>
      <c r="T52" s="187"/>
      <c r="V52" s="211"/>
      <c r="W52" s="203"/>
    </row>
    <row r="53" spans="1:23">
      <c r="A53" s="159"/>
      <c r="B53" s="159"/>
      <c r="C53" s="212" t="s">
        <v>217</v>
      </c>
      <c r="D53" s="159"/>
      <c r="E53" s="187"/>
      <c r="F53" s="187"/>
      <c r="G53" s="187"/>
      <c r="H53" s="159"/>
      <c r="I53" s="213"/>
      <c r="J53" s="213"/>
      <c r="K53" s="159"/>
      <c r="L53" s="159"/>
      <c r="M53" s="159"/>
      <c r="N53" s="210"/>
      <c r="O53" s="210"/>
      <c r="P53" s="210"/>
      <c r="Q53" s="210"/>
      <c r="R53" s="187"/>
      <c r="S53" s="187"/>
      <c r="T53" s="187"/>
    </row>
    <row r="54" spans="1:23">
      <c r="A54" s="159"/>
      <c r="B54" s="159"/>
      <c r="C54" s="212"/>
      <c r="D54" s="159"/>
      <c r="E54" s="187"/>
      <c r="F54" s="187"/>
      <c r="G54" s="187"/>
      <c r="H54" s="159"/>
      <c r="I54" s="214"/>
      <c r="J54" s="215"/>
      <c r="K54" s="186"/>
      <c r="L54" s="159"/>
      <c r="M54" s="159"/>
      <c r="N54" s="210"/>
      <c r="O54" s="210"/>
      <c r="P54" s="210"/>
      <c r="Q54" s="210"/>
      <c r="R54" s="210"/>
      <c r="S54" s="159"/>
      <c r="T54" s="159"/>
    </row>
    <row r="55" spans="1:23">
      <c r="E55" s="216"/>
      <c r="F55" s="216"/>
      <c r="G55" s="216"/>
      <c r="I55" s="216"/>
      <c r="J55" s="217"/>
      <c r="N55" s="218"/>
      <c r="O55" s="218"/>
      <c r="P55" s="218"/>
      <c r="Q55" s="219"/>
      <c r="R55" s="218"/>
    </row>
    <row r="56" spans="1:23">
      <c r="E56" s="216"/>
      <c r="F56" s="216"/>
      <c r="G56" s="216"/>
    </row>
    <row r="57" spans="1:23">
      <c r="A57" s="220" t="s">
        <v>188</v>
      </c>
      <c r="B57" s="221"/>
      <c r="C57" s="221"/>
      <c r="D57" s="221"/>
      <c r="E57" s="222"/>
      <c r="F57" s="222"/>
      <c r="G57" s="222"/>
      <c r="H57" s="221"/>
      <c r="I57" s="221"/>
      <c r="J57" s="221"/>
      <c r="K57" s="221"/>
      <c r="L57" s="221"/>
      <c r="M57" s="221"/>
      <c r="N57" s="221"/>
      <c r="O57" s="223"/>
      <c r="V57" s="148" t="s">
        <v>201</v>
      </c>
    </row>
    <row r="58" spans="1:23" ht="15.75">
      <c r="A58" s="224" t="s">
        <v>191</v>
      </c>
      <c r="B58" s="195"/>
      <c r="C58" s="225" t="str">
        <f ca="1">RIGHT(CELL("address",P.001!D7),4)</f>
        <v>$D$7</v>
      </c>
      <c r="D58" s="225" t="str">
        <f ca="1">RIGHT(CELL("address",P.001!D11),4)</f>
        <v>D$11</v>
      </c>
      <c r="E58" s="225" t="str">
        <f ca="1">RIGHT(CELL("address",P.001!N5),4)</f>
        <v>$N$5</v>
      </c>
      <c r="F58" s="225" t="str">
        <f ca="1">RIGHT(CELL("address",P.001!N7),4)</f>
        <v>$N$7</v>
      </c>
      <c r="G58" s="195"/>
      <c r="H58" s="226"/>
      <c r="I58" s="225" t="str">
        <f ca="1">RIGHT(CELL("address",P.001!M89),4)</f>
        <v>M$89</v>
      </c>
      <c r="J58" s="225"/>
      <c r="K58" s="195"/>
      <c r="L58" s="195"/>
      <c r="M58" s="195"/>
      <c r="N58" s="225" t="str">
        <f ca="1">RIGHT(CELL("address",P.001!N87),4)</f>
        <v>N$87</v>
      </c>
      <c r="O58" s="227" t="str">
        <f ca="1">RIGHT(CELL("address",P.001!N88),4)</f>
        <v>N$88</v>
      </c>
      <c r="P58" s="178" t="s">
        <v>190</v>
      </c>
      <c r="V58" s="148" t="s">
        <v>202</v>
      </c>
    </row>
    <row r="59" spans="1:23">
      <c r="A59" s="228" t="s">
        <v>192</v>
      </c>
      <c r="B59" s="229"/>
      <c r="C59" s="229"/>
      <c r="D59" s="229"/>
      <c r="E59" s="230"/>
      <c r="F59" s="230"/>
      <c r="G59" s="230"/>
      <c r="H59" s="229"/>
      <c r="I59" s="229"/>
      <c r="J59" s="229"/>
      <c r="K59" s="229"/>
      <c r="L59" s="229"/>
      <c r="M59" s="229"/>
      <c r="N59" s="229"/>
      <c r="O59" s="231"/>
      <c r="V59" s="148" t="s">
        <v>203</v>
      </c>
    </row>
    <row r="60" spans="1:23">
      <c r="E60" s="216"/>
      <c r="F60" s="216"/>
      <c r="G60" s="216"/>
      <c r="V60" s="148" t="s">
        <v>204</v>
      </c>
    </row>
    <row r="61" spans="1:23">
      <c r="A61" s="232" t="s">
        <v>244</v>
      </c>
      <c r="B61" s="232" t="s">
        <v>245</v>
      </c>
      <c r="E61" s="216"/>
      <c r="F61" s="216"/>
      <c r="G61" s="216"/>
      <c r="V61" s="233" t="s">
        <v>225</v>
      </c>
    </row>
    <row r="62" spans="1:23">
      <c r="B62" s="232" t="s">
        <v>248</v>
      </c>
      <c r="E62" s="216"/>
      <c r="F62" s="216"/>
      <c r="G62" s="216"/>
    </row>
    <row r="63" spans="1:23">
      <c r="B63" s="232" t="s">
        <v>249</v>
      </c>
      <c r="E63" s="216"/>
      <c r="F63" s="216"/>
      <c r="G63" s="216"/>
    </row>
    <row r="64" spans="1:23">
      <c r="B64" s="232" t="s">
        <v>246</v>
      </c>
      <c r="E64" s="216"/>
      <c r="F64" s="216"/>
      <c r="G64" s="216"/>
    </row>
    <row r="65" spans="2:11">
      <c r="B65" s="232" t="s">
        <v>247</v>
      </c>
      <c r="E65" s="216"/>
      <c r="F65" s="216"/>
      <c r="G65" s="216"/>
      <c r="K65" s="234"/>
    </row>
    <row r="66" spans="2:11">
      <c r="B66" s="232" t="s">
        <v>250</v>
      </c>
      <c r="E66" s="216"/>
      <c r="F66" s="216"/>
      <c r="G66" s="216"/>
    </row>
    <row r="69" spans="2:11" ht="12.75" customHeight="1">
      <c r="E69" s="160" t="s">
        <v>326</v>
      </c>
      <c r="F69" s="160" t="s">
        <v>327</v>
      </c>
      <c r="G69" s="160" t="s">
        <v>328</v>
      </c>
      <c r="H69" s="160"/>
      <c r="I69" s="235"/>
      <c r="J69" s="235"/>
    </row>
    <row r="71" spans="2:11" ht="12.75" customHeight="1">
      <c r="E71" s="214">
        <v>108452.59046922832</v>
      </c>
      <c r="F71" s="214">
        <v>118612.83535736376</v>
      </c>
      <c r="G71" s="236">
        <f t="shared" ref="G71:G95" si="36">+E71-F71</f>
        <v>-10160.244888135436</v>
      </c>
      <c r="H71" s="236"/>
      <c r="I71" s="237"/>
      <c r="J71" s="238"/>
    </row>
    <row r="72" spans="2:11" ht="12.75" customHeight="1">
      <c r="E72" s="214">
        <v>563423.59576338867</v>
      </c>
      <c r="F72" s="214">
        <v>616009.3144662733</v>
      </c>
      <c r="G72" s="236">
        <f t="shared" si="36"/>
        <v>-52585.718702884624</v>
      </c>
      <c r="H72" s="236"/>
      <c r="I72" s="237"/>
      <c r="J72" s="238"/>
    </row>
    <row r="73" spans="2:11" ht="12.75" customHeight="1">
      <c r="E73" s="214">
        <v>1385898.5101974602</v>
      </c>
      <c r="F73" s="214">
        <v>1515588.4402280932</v>
      </c>
      <c r="G73" s="236">
        <f t="shared" si="36"/>
        <v>-129689.930030633</v>
      </c>
      <c r="H73" s="236"/>
      <c r="I73" s="237"/>
      <c r="J73" s="238"/>
    </row>
    <row r="74" spans="2:11" ht="12.75" customHeight="1">
      <c r="E74" s="214">
        <v>1732706.9557914322</v>
      </c>
      <c r="F74" s="214">
        <v>1895603.111111111</v>
      </c>
      <c r="G74" s="236">
        <f t="shared" si="36"/>
        <v>-162896.15531967883</v>
      </c>
      <c r="H74" s="236"/>
      <c r="I74" s="237"/>
      <c r="J74" s="238"/>
    </row>
    <row r="75" spans="2:11" ht="12.75" customHeight="1">
      <c r="E75" s="214">
        <v>44166.093531237391</v>
      </c>
      <c r="F75" s="214">
        <v>48199.620253747162</v>
      </c>
      <c r="G75" s="236">
        <f t="shared" si="36"/>
        <v>-4033.5267225097705</v>
      </c>
      <c r="H75" s="236"/>
      <c r="I75" s="237"/>
      <c r="J75" s="238"/>
    </row>
    <row r="76" spans="2:11" ht="12.75" customHeight="1">
      <c r="E76" s="214">
        <v>179869.75016192306</v>
      </c>
      <c r="F76" s="214">
        <v>196553.85018087178</v>
      </c>
      <c r="G76" s="236">
        <f t="shared" si="36"/>
        <v>-16684.100018948724</v>
      </c>
      <c r="H76" s="236"/>
      <c r="I76" s="237"/>
      <c r="J76" s="238"/>
    </row>
    <row r="77" spans="2:11" ht="12.75" customHeight="1">
      <c r="E77" s="214">
        <v>9943.4463018575989</v>
      </c>
      <c r="F77" s="214">
        <v>10864.165928547483</v>
      </c>
      <c r="G77" s="236">
        <f t="shared" si="36"/>
        <v>-920.71962668988454</v>
      </c>
      <c r="H77" s="236"/>
      <c r="I77" s="237"/>
      <c r="J77" s="238"/>
    </row>
    <row r="78" spans="2:11" ht="12.75" customHeight="1">
      <c r="E78" s="214">
        <v>6401.6194166931018</v>
      </c>
      <c r="F78" s="214">
        <v>6986.5540517513546</v>
      </c>
      <c r="G78" s="236">
        <f t="shared" si="36"/>
        <v>-584.93463505825275</v>
      </c>
      <c r="H78" s="236"/>
      <c r="I78" s="237"/>
      <c r="J78" s="238"/>
    </row>
    <row r="79" spans="2:11" ht="12.75" customHeight="1">
      <c r="E79" s="214">
        <v>8441.9635566451543</v>
      </c>
      <c r="F79" s="214">
        <v>9219.7957260985368</v>
      </c>
      <c r="G79" s="236">
        <f t="shared" si="36"/>
        <v>-777.83216945338245</v>
      </c>
      <c r="H79" s="236"/>
      <c r="I79" s="237"/>
      <c r="J79" s="238"/>
    </row>
    <row r="80" spans="2:11" ht="12.75" customHeight="1">
      <c r="E80" s="214">
        <v>11848.855149661711</v>
      </c>
      <c r="F80" s="214">
        <v>12963.911111111111</v>
      </c>
      <c r="G80" s="236">
        <f t="shared" si="36"/>
        <v>-1115.0559614493995</v>
      </c>
      <c r="H80" s="236"/>
      <c r="I80" s="237"/>
      <c r="J80" s="238"/>
    </row>
    <row r="81" spans="5:10" ht="12.75" customHeight="1">
      <c r="E81" s="214">
        <v>175500.68121965264</v>
      </c>
      <c r="F81" s="214">
        <v>192128.21377777777</v>
      </c>
      <c r="G81" s="236">
        <f t="shared" si="36"/>
        <v>-16627.532558125124</v>
      </c>
      <c r="H81" s="236"/>
      <c r="I81" s="237"/>
      <c r="J81" s="238"/>
    </row>
    <row r="82" spans="5:10" ht="12.75" customHeight="1">
      <c r="E82" s="214">
        <v>426952.93022607185</v>
      </c>
      <c r="F82" s="214">
        <v>467887.49199999997</v>
      </c>
      <c r="G82" s="236">
        <f t="shared" si="36"/>
        <v>-40934.561773928115</v>
      </c>
      <c r="H82" s="236"/>
      <c r="I82" s="237"/>
      <c r="J82" s="238"/>
    </row>
    <row r="83" spans="5:10" ht="12.75" customHeight="1">
      <c r="E83" s="214">
        <v>2821.8344922068077</v>
      </c>
      <c r="F83" s="214">
        <v>3091.0444444444443</v>
      </c>
      <c r="G83" s="236">
        <f t="shared" si="36"/>
        <v>-269.20995223763657</v>
      </c>
      <c r="H83" s="236"/>
      <c r="I83" s="237"/>
      <c r="J83" s="238"/>
    </row>
    <row r="84" spans="5:10" ht="12.75" customHeight="1">
      <c r="E84" s="214">
        <v>124772.2053766459</v>
      </c>
      <c r="F84" s="214">
        <v>136430.26666666666</v>
      </c>
      <c r="G84" s="236">
        <f t="shared" si="36"/>
        <v>-11658.061290020763</v>
      </c>
      <c r="H84" s="236"/>
      <c r="I84" s="237"/>
      <c r="J84" s="238"/>
    </row>
    <row r="85" spans="5:10" ht="12.75" customHeight="1">
      <c r="E85" s="214">
        <v>295431.5183187396</v>
      </c>
      <c r="F85" s="214">
        <v>323935.0793333333</v>
      </c>
      <c r="G85" s="236">
        <f t="shared" si="36"/>
        <v>-28503.561014593695</v>
      </c>
      <c r="H85" s="236"/>
      <c r="I85" s="237"/>
      <c r="J85" s="238"/>
    </row>
    <row r="86" spans="5:10" ht="12.75" customHeight="1">
      <c r="E86" s="214">
        <v>674633.13832799566</v>
      </c>
      <c r="F86" s="214">
        <v>740035.4</v>
      </c>
      <c r="G86" s="236">
        <f t="shared" si="36"/>
        <v>-65402.261672004359</v>
      </c>
      <c r="H86" s="236"/>
      <c r="I86" s="237"/>
      <c r="J86" s="238"/>
    </row>
    <row r="87" spans="5:10" ht="12.75" customHeight="1">
      <c r="E87" s="214">
        <v>229518.46356971579</v>
      </c>
      <c r="F87" s="214">
        <v>251897.51111111112</v>
      </c>
      <c r="G87" s="236">
        <f t="shared" si="36"/>
        <v>-22379.047541395325</v>
      </c>
      <c r="H87" s="236"/>
      <c r="I87" s="237"/>
      <c r="J87" s="238"/>
    </row>
    <row r="88" spans="5:10" ht="12.75" customHeight="1">
      <c r="E88" s="214">
        <v>227656.2696364547</v>
      </c>
      <c r="F88" s="214">
        <v>249645.70777777777</v>
      </c>
      <c r="G88" s="236">
        <f t="shared" si="36"/>
        <v>-21989.438141323073</v>
      </c>
      <c r="H88" s="236"/>
      <c r="I88" s="237"/>
      <c r="J88" s="238"/>
    </row>
    <row r="89" spans="5:10" ht="12.75" customHeight="1">
      <c r="E89" s="214">
        <v>185741.34290994913</v>
      </c>
      <c r="F89" s="214">
        <v>205998.2169756256</v>
      </c>
      <c r="G89" s="236">
        <f t="shared" si="36"/>
        <v>-20256.874065676471</v>
      </c>
      <c r="H89" s="236"/>
      <c r="I89" s="237"/>
      <c r="J89" s="238"/>
    </row>
    <row r="90" spans="5:10" ht="12.75" customHeight="1">
      <c r="E90" s="214">
        <v>78830.35648290487</v>
      </c>
      <c r="F90" s="214">
        <v>87696.739331146033</v>
      </c>
      <c r="G90" s="236">
        <f t="shared" si="36"/>
        <v>-8866.3828482411627</v>
      </c>
      <c r="H90" s="236"/>
      <c r="I90" s="237"/>
      <c r="J90" s="238"/>
    </row>
    <row r="91" spans="5:10" ht="12.75" customHeight="1">
      <c r="E91" s="214">
        <v>36514.867050668458</v>
      </c>
      <c r="F91" s="214">
        <v>40500.711549338856</v>
      </c>
      <c r="G91" s="236">
        <f t="shared" si="36"/>
        <v>-3985.844498670398</v>
      </c>
      <c r="H91" s="236"/>
      <c r="I91" s="237"/>
      <c r="J91" s="238"/>
    </row>
    <row r="92" spans="5:10" ht="12.75" customHeight="1">
      <c r="E92" s="214">
        <v>17161.945194330583</v>
      </c>
      <c r="F92" s="214">
        <v>19038.576480221469</v>
      </c>
      <c r="G92" s="236">
        <f t="shared" si="36"/>
        <v>-1876.6312858908859</v>
      </c>
      <c r="H92" s="236"/>
      <c r="I92" s="237"/>
      <c r="J92" s="238"/>
    </row>
    <row r="93" spans="5:10" ht="12.75" customHeight="1">
      <c r="E93" s="214">
        <v>125057.12522754009</v>
      </c>
      <c r="F93" s="214">
        <v>138731.92205669577</v>
      </c>
      <c r="G93" s="236">
        <f t="shared" si="36"/>
        <v>-13674.796829155675</v>
      </c>
      <c r="H93" s="236"/>
      <c r="I93" s="237"/>
      <c r="J93" s="238"/>
    </row>
    <row r="94" spans="5:10" ht="12.75" customHeight="1">
      <c r="E94" s="214">
        <v>73430.617962627584</v>
      </c>
      <c r="F94" s="214">
        <v>81460.13871045578</v>
      </c>
      <c r="G94" s="236">
        <f t="shared" si="36"/>
        <v>-8029.5207478281955</v>
      </c>
      <c r="H94" s="236"/>
      <c r="I94" s="237"/>
      <c r="J94" s="238"/>
    </row>
    <row r="95" spans="5:10" ht="12.75" customHeight="1">
      <c r="E95" s="214">
        <v>85528.382607811436</v>
      </c>
      <c r="F95" s="214">
        <v>94880.774589956171</v>
      </c>
      <c r="G95" s="236">
        <f t="shared" si="36"/>
        <v>-9352.3919821447344</v>
      </c>
      <c r="H95" s="236"/>
      <c r="I95" s="237"/>
      <c r="J95" s="238"/>
    </row>
    <row r="96" spans="5:10" ht="12.75" customHeight="1">
      <c r="E96" s="236"/>
      <c r="F96" s="236"/>
      <c r="H96" s="236"/>
      <c r="I96" s="236"/>
      <c r="J96" s="236"/>
    </row>
    <row r="97" spans="5:10" ht="12.75" customHeight="1">
      <c r="E97" s="236">
        <f>SUM(E71:E96)</f>
        <v>6810705.0589428414</v>
      </c>
      <c r="F97" s="236">
        <f>SUM(F71:F96)</f>
        <v>7463959.3932195175</v>
      </c>
      <c r="G97" s="236">
        <f>SUM(G71:G96)</f>
        <v>-653254.33427667688</v>
      </c>
      <c r="H97" s="236"/>
      <c r="I97" s="236"/>
      <c r="J97" s="236"/>
    </row>
  </sheetData>
  <mergeCells count="2">
    <mergeCell ref="E13:G13"/>
    <mergeCell ref="T14:T16"/>
  </mergeCells>
  <phoneticPr fontId="62" type="noConversion"/>
  <pageMargins left="0.25" right="0.25" top="1" bottom="1" header="0.65" footer="0.5"/>
  <pageSetup scale="49" orientation="landscape" r:id="rId1"/>
  <headerFooter alignWithMargins="0">
    <oddHeader xml:space="preserve">&amp;R&amp;16AEP - SPP Formula Rate
Schedule 11 Revenue Requirements
Public Service Company of Oklahoma
Page: &amp;P of &amp;N
</oddHeader>
    <oddFooter>&amp;L&amp;A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00000"/>
  </sheetPr>
  <dimension ref="A1:P162"/>
  <sheetViews>
    <sheetView view="pageBreakPreview" topLeftCell="A4" zoomScale="75" zoomScaleNormal="100" workbookViewId="0">
      <selection activeCell="E23" sqref="E2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7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8297.5518554789269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8297.5518554789269</v>
      </c>
      <c r="O6" s="232"/>
      <c r="P6" s="232"/>
    </row>
    <row r="7" spans="1:16" ht="13.5" thickBot="1">
      <c r="C7" s="431" t="s">
        <v>46</v>
      </c>
      <c r="D7" s="432" t="s">
        <v>214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86</v>
      </c>
      <c r="E9" s="577" t="s">
        <v>348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84424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2010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2007</v>
      </c>
      <c r="D17" s="473">
        <v>84424</v>
      </c>
      <c r="E17" s="474">
        <v>0</v>
      </c>
      <c r="F17" s="473">
        <v>84424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2008</v>
      </c>
      <c r="D18" s="479">
        <v>84424</v>
      </c>
      <c r="E18" s="480">
        <v>1508</v>
      </c>
      <c r="F18" s="479">
        <v>82916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2009</v>
      </c>
      <c r="D19" s="479">
        <v>82916</v>
      </c>
      <c r="E19" s="480">
        <v>1508</v>
      </c>
      <c r="F19" s="479">
        <v>81408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81408</v>
      </c>
      <c r="E20" s="480">
        <v>1508</v>
      </c>
      <c r="F20" s="479">
        <v>79900</v>
      </c>
      <c r="G20" s="480">
        <v>13037.291488737637</v>
      </c>
      <c r="H20" s="481">
        <v>13037.291488737637</v>
      </c>
      <c r="I20" s="475">
        <v>0</v>
      </c>
      <c r="J20" s="475"/>
      <c r="K20" s="540">
        <f t="shared" ref="K20:K25" si="5">G20</f>
        <v>13037.291488737637</v>
      </c>
      <c r="L20" s="541">
        <f t="shared" si="1"/>
        <v>0</v>
      </c>
      <c r="M20" s="540">
        <f t="shared" ref="M20:M25" si="6">H20</f>
        <v>13037.291488737637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4"/>
        <v/>
      </c>
      <c r="C21" s="472">
        <f>IF(D11="","-",+C20+1)</f>
        <v>2011</v>
      </c>
      <c r="D21" s="479">
        <v>79900</v>
      </c>
      <c r="E21" s="480">
        <v>1655</v>
      </c>
      <c r="F21" s="479">
        <v>78245</v>
      </c>
      <c r="G21" s="480">
        <v>13903.733792156472</v>
      </c>
      <c r="H21" s="481">
        <v>13903.733792156472</v>
      </c>
      <c r="I21" s="475">
        <f t="shared" si="0"/>
        <v>0</v>
      </c>
      <c r="J21" s="475"/>
      <c r="K21" s="476">
        <f t="shared" si="5"/>
        <v>13903.733792156472</v>
      </c>
      <c r="L21" s="550">
        <f t="shared" si="1"/>
        <v>0</v>
      </c>
      <c r="M21" s="476">
        <f t="shared" si="6"/>
        <v>13903.733792156472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4"/>
        <v/>
      </c>
      <c r="C22" s="472">
        <f>IF(D11="","-",+C21+1)</f>
        <v>2012</v>
      </c>
      <c r="D22" s="479">
        <v>78245</v>
      </c>
      <c r="E22" s="480">
        <v>1624</v>
      </c>
      <c r="F22" s="479">
        <v>76621</v>
      </c>
      <c r="G22" s="480">
        <v>12290.159159207155</v>
      </c>
      <c r="H22" s="481">
        <v>12290.159159207155</v>
      </c>
      <c r="I22" s="475">
        <f t="shared" si="0"/>
        <v>0</v>
      </c>
      <c r="J22" s="475"/>
      <c r="K22" s="476">
        <f t="shared" si="5"/>
        <v>12290.159159207155</v>
      </c>
      <c r="L22" s="550">
        <f t="shared" si="1"/>
        <v>0</v>
      </c>
      <c r="M22" s="476">
        <f t="shared" si="6"/>
        <v>12290.159159207155</v>
      </c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4"/>
        <v/>
      </c>
      <c r="C23" s="472">
        <f>IF(D11="","-",+C22+1)</f>
        <v>2013</v>
      </c>
      <c r="D23" s="479">
        <v>76621</v>
      </c>
      <c r="E23" s="480">
        <v>1624</v>
      </c>
      <c r="F23" s="479">
        <v>74997</v>
      </c>
      <c r="G23" s="480">
        <v>12334.078606810854</v>
      </c>
      <c r="H23" s="481">
        <v>12334.078606810854</v>
      </c>
      <c r="I23" s="475">
        <v>0</v>
      </c>
      <c r="J23" s="475"/>
      <c r="K23" s="476">
        <f t="shared" si="5"/>
        <v>12334.078606810854</v>
      </c>
      <c r="L23" s="550">
        <f t="shared" ref="L23:L28" si="7">IF(K23&lt;&gt;0,+G23-K23,0)</f>
        <v>0</v>
      </c>
      <c r="M23" s="476">
        <f t="shared" si="6"/>
        <v>12334.078606810854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>
      <c r="B24" s="160" t="str">
        <f t="shared" si="4"/>
        <v/>
      </c>
      <c r="C24" s="472">
        <f>IF(D11="","-",+C23+1)</f>
        <v>2014</v>
      </c>
      <c r="D24" s="479">
        <v>74997</v>
      </c>
      <c r="E24" s="480">
        <v>1624</v>
      </c>
      <c r="F24" s="479">
        <v>73373</v>
      </c>
      <c r="G24" s="480">
        <v>11724.436761777028</v>
      </c>
      <c r="H24" s="481">
        <v>11724.436761777028</v>
      </c>
      <c r="I24" s="475">
        <v>0</v>
      </c>
      <c r="J24" s="475"/>
      <c r="K24" s="476">
        <f t="shared" si="5"/>
        <v>11724.436761777028</v>
      </c>
      <c r="L24" s="550">
        <f t="shared" si="7"/>
        <v>0</v>
      </c>
      <c r="M24" s="476">
        <f t="shared" si="6"/>
        <v>11724.436761777028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4"/>
        <v/>
      </c>
      <c r="C25" s="472">
        <f>IF(D11="","-",+C24+1)</f>
        <v>2015</v>
      </c>
      <c r="D25" s="479">
        <v>73373</v>
      </c>
      <c r="E25" s="480">
        <v>1624</v>
      </c>
      <c r="F25" s="479">
        <v>71749</v>
      </c>
      <c r="G25" s="480">
        <v>11516.153501332747</v>
      </c>
      <c r="H25" s="481">
        <v>11516.153501332747</v>
      </c>
      <c r="I25" s="475">
        <v>0</v>
      </c>
      <c r="J25" s="475"/>
      <c r="K25" s="476">
        <f t="shared" si="5"/>
        <v>11516.153501332747</v>
      </c>
      <c r="L25" s="550">
        <f t="shared" si="7"/>
        <v>0</v>
      </c>
      <c r="M25" s="476">
        <f t="shared" si="6"/>
        <v>11516.153501332747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4"/>
        <v/>
      </c>
      <c r="C26" s="472">
        <f>IF(D11="","-",+C25+1)</f>
        <v>2016</v>
      </c>
      <c r="D26" s="479">
        <v>71749</v>
      </c>
      <c r="E26" s="480">
        <v>1624</v>
      </c>
      <c r="F26" s="479">
        <v>70125</v>
      </c>
      <c r="G26" s="480">
        <v>10821.569336122064</v>
      </c>
      <c r="H26" s="481">
        <v>10821.569336122064</v>
      </c>
      <c r="I26" s="475">
        <f t="shared" si="0"/>
        <v>0</v>
      </c>
      <c r="J26" s="475"/>
      <c r="K26" s="476">
        <f t="shared" ref="K26:K31" si="10">G26</f>
        <v>10821.569336122064</v>
      </c>
      <c r="L26" s="550">
        <f t="shared" si="7"/>
        <v>0</v>
      </c>
      <c r="M26" s="476">
        <f t="shared" ref="M26:M31" si="11">H26</f>
        <v>10821.569336122064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4"/>
        <v/>
      </c>
      <c r="C27" s="472">
        <f>IF(D11="","-",+C26+1)</f>
        <v>2017</v>
      </c>
      <c r="D27" s="479">
        <v>70125</v>
      </c>
      <c r="E27" s="480">
        <v>1835</v>
      </c>
      <c r="F27" s="479">
        <v>68290</v>
      </c>
      <c r="G27" s="480">
        <v>10525.630110064558</v>
      </c>
      <c r="H27" s="481">
        <v>10525.630110064558</v>
      </c>
      <c r="I27" s="475">
        <f t="shared" si="0"/>
        <v>0</v>
      </c>
      <c r="J27" s="475"/>
      <c r="K27" s="476">
        <f t="shared" si="10"/>
        <v>10525.630110064558</v>
      </c>
      <c r="L27" s="550">
        <f t="shared" si="7"/>
        <v>0</v>
      </c>
      <c r="M27" s="476">
        <f t="shared" si="11"/>
        <v>10525.630110064558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4"/>
        <v/>
      </c>
      <c r="C28" s="472">
        <f>IF(D11="","-",+C27+1)</f>
        <v>2018</v>
      </c>
      <c r="D28" s="479">
        <v>68290</v>
      </c>
      <c r="E28" s="480">
        <v>1876</v>
      </c>
      <c r="F28" s="479">
        <v>66414</v>
      </c>
      <c r="G28" s="480">
        <v>9942.0041745497692</v>
      </c>
      <c r="H28" s="481">
        <v>9942.0041745497692</v>
      </c>
      <c r="I28" s="475">
        <f t="shared" si="0"/>
        <v>0</v>
      </c>
      <c r="J28" s="475"/>
      <c r="K28" s="476">
        <f t="shared" si="10"/>
        <v>9942.0041745497692</v>
      </c>
      <c r="L28" s="550">
        <f t="shared" si="7"/>
        <v>0</v>
      </c>
      <c r="M28" s="476">
        <f t="shared" si="11"/>
        <v>9942.0041745497692</v>
      </c>
      <c r="N28" s="478">
        <f t="shared" si="8"/>
        <v>0</v>
      </c>
      <c r="O28" s="478">
        <f t="shared" si="9"/>
        <v>0</v>
      </c>
      <c r="P28" s="242"/>
    </row>
    <row r="29" spans="2:16">
      <c r="B29" s="160" t="str">
        <f t="shared" si="4"/>
        <v/>
      </c>
      <c r="C29" s="472">
        <f>IF(D11="","-",+C28+1)</f>
        <v>2019</v>
      </c>
      <c r="D29" s="479">
        <v>66414</v>
      </c>
      <c r="E29" s="480">
        <v>2111</v>
      </c>
      <c r="F29" s="479">
        <v>64303</v>
      </c>
      <c r="G29" s="480">
        <v>9408.7099366610164</v>
      </c>
      <c r="H29" s="481">
        <v>9408.7099366610164</v>
      </c>
      <c r="I29" s="475">
        <f t="shared" si="0"/>
        <v>0</v>
      </c>
      <c r="J29" s="475"/>
      <c r="K29" s="476">
        <f t="shared" si="10"/>
        <v>9408.7099366610164</v>
      </c>
      <c r="L29" s="550">
        <f t="shared" ref="L29" si="12">IF(K29&lt;&gt;0,+G29-K29,0)</f>
        <v>0</v>
      </c>
      <c r="M29" s="476">
        <f t="shared" si="11"/>
        <v>9408.7099366610164</v>
      </c>
      <c r="N29" s="478">
        <f t="shared" ref="N29" si="13">IF(M29&lt;&gt;0,+H29-M29,0)</f>
        <v>0</v>
      </c>
      <c r="O29" s="478">
        <f t="shared" ref="O29" si="14">+N29-L29</f>
        <v>0</v>
      </c>
      <c r="P29" s="242"/>
    </row>
    <row r="30" spans="2:16">
      <c r="B30" s="160" t="str">
        <f t="shared" si="4"/>
        <v>IU</v>
      </c>
      <c r="C30" s="472">
        <f>IF(D11="","-",+C29+1)</f>
        <v>2020</v>
      </c>
      <c r="D30" s="479">
        <v>64538</v>
      </c>
      <c r="E30" s="480">
        <v>2010</v>
      </c>
      <c r="F30" s="479">
        <v>62528</v>
      </c>
      <c r="G30" s="480">
        <v>8871.8674914200565</v>
      </c>
      <c r="H30" s="481">
        <v>8871.8674914200565</v>
      </c>
      <c r="I30" s="475">
        <f t="shared" si="0"/>
        <v>0</v>
      </c>
      <c r="J30" s="475"/>
      <c r="K30" s="476">
        <f t="shared" si="10"/>
        <v>8871.8674914200565</v>
      </c>
      <c r="L30" s="550">
        <f t="shared" ref="L30" si="15">IF(K30&lt;&gt;0,+G30-K30,0)</f>
        <v>0</v>
      </c>
      <c r="M30" s="476">
        <f t="shared" si="11"/>
        <v>8871.8674914200565</v>
      </c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4"/>
        <v>IU</v>
      </c>
      <c r="C31" s="472">
        <f>IF(D11="","-",+C30+1)</f>
        <v>2021</v>
      </c>
      <c r="D31" s="479">
        <v>62293</v>
      </c>
      <c r="E31" s="480">
        <v>1963</v>
      </c>
      <c r="F31" s="479">
        <v>60330</v>
      </c>
      <c r="G31" s="480">
        <v>8467.8802590192263</v>
      </c>
      <c r="H31" s="481">
        <v>8467.8802590192263</v>
      </c>
      <c r="I31" s="475">
        <f t="shared" si="0"/>
        <v>0</v>
      </c>
      <c r="J31" s="475"/>
      <c r="K31" s="476">
        <f t="shared" si="10"/>
        <v>8467.8802590192263</v>
      </c>
      <c r="L31" s="550">
        <f t="shared" ref="L31" si="16">IF(K31&lt;&gt;0,+G31-K31,0)</f>
        <v>0</v>
      </c>
      <c r="M31" s="476">
        <f t="shared" si="11"/>
        <v>8467.8802590192263</v>
      </c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4"/>
        <v/>
      </c>
      <c r="C32" s="472">
        <f>IF(D11="","-",+C31+1)</f>
        <v>2022</v>
      </c>
      <c r="D32" s="485">
        <f>IF(F31+SUM(E$17:E31)=D$10,F31,D$10-SUM(E$17:E31))</f>
        <v>60330</v>
      </c>
      <c r="E32" s="484">
        <f>IF(+I14&lt;F31,I14,D32)</f>
        <v>2010</v>
      </c>
      <c r="F32" s="485">
        <f t="shared" ref="F32:F48" si="17">+D32-E32</f>
        <v>58320</v>
      </c>
      <c r="G32" s="486">
        <f t="shared" ref="G32:G72" si="18">+I$12*F32+E32</f>
        <v>8297.5518554789269</v>
      </c>
      <c r="H32" s="455">
        <f t="shared" ref="H32:H72" si="19">+I$13*F32+E32</f>
        <v>8297.5518554789269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58320</v>
      </c>
      <c r="E33" s="484">
        <f>IF(+I14&lt;F32,I14,D33)</f>
        <v>2010</v>
      </c>
      <c r="F33" s="485">
        <f t="shared" si="17"/>
        <v>56310</v>
      </c>
      <c r="G33" s="486">
        <f t="shared" si="18"/>
        <v>8080.8512514063505</v>
      </c>
      <c r="H33" s="455">
        <f t="shared" si="19"/>
        <v>8080.8512514063505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56310</v>
      </c>
      <c r="E34" s="484">
        <f>IF(+I14&lt;F33,I14,D34)</f>
        <v>2010</v>
      </c>
      <c r="F34" s="485">
        <f t="shared" si="17"/>
        <v>54300</v>
      </c>
      <c r="G34" s="486">
        <f t="shared" si="18"/>
        <v>7864.150647333774</v>
      </c>
      <c r="H34" s="455">
        <f t="shared" si="19"/>
        <v>7864.150647333774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54300</v>
      </c>
      <c r="E35" s="484">
        <f>IF(+I14&lt;F34,I14,D35)</f>
        <v>2010</v>
      </c>
      <c r="F35" s="485">
        <f t="shared" si="17"/>
        <v>52290</v>
      </c>
      <c r="G35" s="486">
        <f t="shared" si="18"/>
        <v>7647.4500432611976</v>
      </c>
      <c r="H35" s="455">
        <f t="shared" si="19"/>
        <v>7647.4500432611976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52290</v>
      </c>
      <c r="E36" s="484">
        <f>IF(+I14&lt;F35,I14,D36)</f>
        <v>2010</v>
      </c>
      <c r="F36" s="485">
        <f t="shared" si="17"/>
        <v>50280</v>
      </c>
      <c r="G36" s="486">
        <f t="shared" si="18"/>
        <v>7430.7494391886212</v>
      </c>
      <c r="H36" s="455">
        <f t="shared" si="19"/>
        <v>7430.7494391886212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50280</v>
      </c>
      <c r="E37" s="484">
        <f>IF(+I14&lt;F36,I14,D37)</f>
        <v>2010</v>
      </c>
      <c r="F37" s="485">
        <f t="shared" si="17"/>
        <v>48270</v>
      </c>
      <c r="G37" s="486">
        <f t="shared" si="18"/>
        <v>7214.0488351160457</v>
      </c>
      <c r="H37" s="455">
        <f t="shared" si="19"/>
        <v>7214.0488351160457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48270</v>
      </c>
      <c r="E38" s="484">
        <f>IF(+I14&lt;F37,I14,D38)</f>
        <v>2010</v>
      </c>
      <c r="F38" s="485">
        <f t="shared" si="17"/>
        <v>46260</v>
      </c>
      <c r="G38" s="486">
        <f t="shared" si="18"/>
        <v>6997.3482310434692</v>
      </c>
      <c r="H38" s="455">
        <f t="shared" si="19"/>
        <v>6997.3482310434692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46260</v>
      </c>
      <c r="E39" s="484">
        <f>IF(+I14&lt;F38,I14,D39)</f>
        <v>2010</v>
      </c>
      <c r="F39" s="485">
        <f t="shared" si="17"/>
        <v>44250</v>
      </c>
      <c r="G39" s="486">
        <f t="shared" si="18"/>
        <v>6780.6476269708928</v>
      </c>
      <c r="H39" s="455">
        <f t="shared" si="19"/>
        <v>6780.6476269708928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44250</v>
      </c>
      <c r="E40" s="484">
        <f>IF(+I14&lt;F39,I14,D40)</f>
        <v>2010</v>
      </c>
      <c r="F40" s="485">
        <f t="shared" si="17"/>
        <v>42240</v>
      </c>
      <c r="G40" s="486">
        <f t="shared" si="18"/>
        <v>6563.9470228983173</v>
      </c>
      <c r="H40" s="455">
        <f t="shared" si="19"/>
        <v>6563.9470228983173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42240</v>
      </c>
      <c r="E41" s="484">
        <f>IF(+I14&lt;F40,I14,D41)</f>
        <v>2010</v>
      </c>
      <c r="F41" s="485">
        <f t="shared" si="17"/>
        <v>40230</v>
      </c>
      <c r="G41" s="486">
        <f t="shared" si="18"/>
        <v>6347.2464188257409</v>
      </c>
      <c r="H41" s="455">
        <f t="shared" si="19"/>
        <v>6347.2464188257409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40230</v>
      </c>
      <c r="E42" s="484">
        <f>IF(+I14&lt;F41,I14,D42)</f>
        <v>2010</v>
      </c>
      <c r="F42" s="485">
        <f t="shared" si="17"/>
        <v>38220</v>
      </c>
      <c r="G42" s="486">
        <f t="shared" si="18"/>
        <v>6130.5458147531644</v>
      </c>
      <c r="H42" s="455">
        <f t="shared" si="19"/>
        <v>6130.5458147531644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38220</v>
      </c>
      <c r="E43" s="484">
        <f>IF(+I14&lt;F42,I14,D43)</f>
        <v>2010</v>
      </c>
      <c r="F43" s="485">
        <f t="shared" si="17"/>
        <v>36210</v>
      </c>
      <c r="G43" s="486">
        <f t="shared" si="18"/>
        <v>5913.8452106805889</v>
      </c>
      <c r="H43" s="455">
        <f t="shared" si="19"/>
        <v>5913.8452106805889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36210</v>
      </c>
      <c r="E44" s="484">
        <f>IF(+I14&lt;F43,I14,D44)</f>
        <v>2010</v>
      </c>
      <c r="F44" s="485">
        <f t="shared" si="17"/>
        <v>34200</v>
      </c>
      <c r="G44" s="486">
        <f t="shared" si="18"/>
        <v>5697.1446066080116</v>
      </c>
      <c r="H44" s="455">
        <f t="shared" si="19"/>
        <v>5697.1446066080116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34200</v>
      </c>
      <c r="E45" s="484">
        <f>IF(+I14&lt;F44,I14,D45)</f>
        <v>2010</v>
      </c>
      <c r="F45" s="485">
        <f t="shared" si="17"/>
        <v>32190</v>
      </c>
      <c r="G45" s="486">
        <f t="shared" si="18"/>
        <v>5480.4440025354361</v>
      </c>
      <c r="H45" s="455">
        <f t="shared" si="19"/>
        <v>5480.4440025354361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32190</v>
      </c>
      <c r="E46" s="484">
        <f>IF(+I14&lt;F45,I14,D46)</f>
        <v>2010</v>
      </c>
      <c r="F46" s="485">
        <f t="shared" si="17"/>
        <v>30180</v>
      </c>
      <c r="G46" s="486">
        <f t="shared" si="18"/>
        <v>5263.7433984628606</v>
      </c>
      <c r="H46" s="455">
        <f t="shared" si="19"/>
        <v>5263.7433984628606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30180</v>
      </c>
      <c r="E47" s="484">
        <f>IF(+I14&lt;F46,I14,D47)</f>
        <v>2010</v>
      </c>
      <c r="F47" s="485">
        <f t="shared" si="17"/>
        <v>28170</v>
      </c>
      <c r="G47" s="486">
        <f t="shared" si="18"/>
        <v>5047.0427943902832</v>
      </c>
      <c r="H47" s="455">
        <f t="shared" si="19"/>
        <v>5047.0427943902832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28170</v>
      </c>
      <c r="E48" s="484">
        <f>IF(+I14&lt;F47,I14,D48)</f>
        <v>2010</v>
      </c>
      <c r="F48" s="485">
        <f t="shared" si="17"/>
        <v>26160</v>
      </c>
      <c r="G48" s="486">
        <f t="shared" si="18"/>
        <v>4830.3421903177077</v>
      </c>
      <c r="H48" s="455">
        <f t="shared" si="19"/>
        <v>4830.3421903177077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26160</v>
      </c>
      <c r="E49" s="484">
        <f>IF(+I14&lt;F48,I14,D49)</f>
        <v>2010</v>
      </c>
      <c r="F49" s="485">
        <f t="shared" ref="F49:F72" si="20">+D49-E49</f>
        <v>24150</v>
      </c>
      <c r="G49" s="486">
        <f t="shared" si="18"/>
        <v>4613.6415862451313</v>
      </c>
      <c r="H49" s="455">
        <f t="shared" si="19"/>
        <v>4613.6415862451313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24150</v>
      </c>
      <c r="E50" s="484">
        <f>IF(+I14&lt;F49,I14,D50)</f>
        <v>2010</v>
      </c>
      <c r="F50" s="485">
        <f t="shared" si="20"/>
        <v>22140</v>
      </c>
      <c r="G50" s="486">
        <f t="shared" si="18"/>
        <v>4396.9409821725549</v>
      </c>
      <c r="H50" s="455">
        <f t="shared" si="19"/>
        <v>4396.9409821725549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22140</v>
      </c>
      <c r="E51" s="484">
        <f>IF(+I14&lt;F50,I14,D51)</f>
        <v>2010</v>
      </c>
      <c r="F51" s="485">
        <f t="shared" si="20"/>
        <v>20130</v>
      </c>
      <c r="G51" s="486">
        <f t="shared" si="18"/>
        <v>4180.2403780999794</v>
      </c>
      <c r="H51" s="455">
        <f t="shared" si="19"/>
        <v>4180.2403780999794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20130</v>
      </c>
      <c r="E52" s="484">
        <f>IF(+I14&lt;F51,I14,D52)</f>
        <v>2010</v>
      </c>
      <c r="F52" s="485">
        <f t="shared" si="20"/>
        <v>18120</v>
      </c>
      <c r="G52" s="486">
        <f t="shared" si="18"/>
        <v>3963.5397740274029</v>
      </c>
      <c r="H52" s="455">
        <f t="shared" si="19"/>
        <v>3963.5397740274029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18120</v>
      </c>
      <c r="E53" s="484">
        <f>IF(+I14&lt;F52,I14,D53)</f>
        <v>2010</v>
      </c>
      <c r="F53" s="485">
        <f t="shared" si="20"/>
        <v>16110</v>
      </c>
      <c r="G53" s="486">
        <f t="shared" si="18"/>
        <v>3746.8391699548265</v>
      </c>
      <c r="H53" s="455">
        <f t="shared" si="19"/>
        <v>3746.8391699548265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16110</v>
      </c>
      <c r="E54" s="484">
        <f>IF(+I14&lt;F53,I14,D54)</f>
        <v>2010</v>
      </c>
      <c r="F54" s="485">
        <f t="shared" si="20"/>
        <v>14100</v>
      </c>
      <c r="G54" s="486">
        <f t="shared" si="18"/>
        <v>3530.138565882251</v>
      </c>
      <c r="H54" s="455">
        <f t="shared" si="19"/>
        <v>3530.138565882251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14100</v>
      </c>
      <c r="E55" s="484">
        <f>IF(+I14&lt;F54,I14,D55)</f>
        <v>2010</v>
      </c>
      <c r="F55" s="485">
        <f t="shared" si="20"/>
        <v>12090</v>
      </c>
      <c r="G55" s="486">
        <f t="shared" si="18"/>
        <v>3313.4379618096746</v>
      </c>
      <c r="H55" s="455">
        <f t="shared" si="19"/>
        <v>3313.4379618096746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12090</v>
      </c>
      <c r="E56" s="484">
        <f>IF(+I14&lt;F55,I14,D56)</f>
        <v>2010</v>
      </c>
      <c r="F56" s="485">
        <f t="shared" si="20"/>
        <v>10080</v>
      </c>
      <c r="G56" s="486">
        <f t="shared" si="18"/>
        <v>3096.7373577370981</v>
      </c>
      <c r="H56" s="455">
        <f t="shared" si="19"/>
        <v>3096.7373577370981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10080</v>
      </c>
      <c r="E57" s="484">
        <f>IF(+I14&lt;F56,I14,D57)</f>
        <v>2010</v>
      </c>
      <c r="F57" s="485">
        <f t="shared" si="20"/>
        <v>8070</v>
      </c>
      <c r="G57" s="486">
        <f t="shared" si="18"/>
        <v>2880.0367536645222</v>
      </c>
      <c r="H57" s="455">
        <f t="shared" si="19"/>
        <v>2880.0367536645222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8070</v>
      </c>
      <c r="E58" s="484">
        <f>IF(+I14&lt;F57,I14,D58)</f>
        <v>2010</v>
      </c>
      <c r="F58" s="485">
        <f t="shared" si="20"/>
        <v>6060</v>
      </c>
      <c r="G58" s="486">
        <f t="shared" si="18"/>
        <v>2663.3361495919462</v>
      </c>
      <c r="H58" s="455">
        <f t="shared" si="19"/>
        <v>2663.3361495919462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6060</v>
      </c>
      <c r="E59" s="484">
        <f>IF(+I14&lt;F58,I14,D59)</f>
        <v>2010</v>
      </c>
      <c r="F59" s="485">
        <f t="shared" si="20"/>
        <v>4050</v>
      </c>
      <c r="G59" s="486">
        <f t="shared" si="18"/>
        <v>2446.6355455193698</v>
      </c>
      <c r="H59" s="455">
        <f t="shared" si="19"/>
        <v>2446.6355455193698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4050</v>
      </c>
      <c r="E60" s="484">
        <f>IF(+I14&lt;F59,I14,D60)</f>
        <v>2010</v>
      </c>
      <c r="F60" s="485">
        <f t="shared" si="20"/>
        <v>2040</v>
      </c>
      <c r="G60" s="486">
        <f t="shared" si="18"/>
        <v>2229.9349414467938</v>
      </c>
      <c r="H60" s="455">
        <f t="shared" si="19"/>
        <v>2229.9349414467938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2040</v>
      </c>
      <c r="E61" s="484">
        <f>IF(+I14&lt;F60,I14,D61)</f>
        <v>2010</v>
      </c>
      <c r="F61" s="485">
        <f t="shared" si="20"/>
        <v>30</v>
      </c>
      <c r="G61" s="488">
        <f t="shared" si="18"/>
        <v>2013.2343373742176</v>
      </c>
      <c r="H61" s="455">
        <f t="shared" si="19"/>
        <v>2013.2343373742176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30</v>
      </c>
      <c r="E62" s="484">
        <f>IF(+I14&lt;F61,I14,D62)</f>
        <v>30</v>
      </c>
      <c r="F62" s="485">
        <f t="shared" si="20"/>
        <v>0</v>
      </c>
      <c r="G62" s="488">
        <f t="shared" si="18"/>
        <v>30</v>
      </c>
      <c r="H62" s="455">
        <f t="shared" si="19"/>
        <v>30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>
      <c r="C73" s="346" t="s">
        <v>77</v>
      </c>
      <c r="D73" s="347"/>
      <c r="E73" s="347">
        <f>SUM(E17:E72)</f>
        <v>84424</v>
      </c>
      <c r="F73" s="347"/>
      <c r="G73" s="347">
        <f>SUM(G17:G72)</f>
        <v>287535.30751065584</v>
      </c>
      <c r="H73" s="347">
        <f>SUM(H17:H72)</f>
        <v>287535.30751065584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7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8871.8674914200565</v>
      </c>
      <c r="N87" s="508">
        <f>IF(J92&lt;D11,0,VLOOKUP(J92,C17:O72,11))</f>
        <v>8871.8674914200565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9212.2569908153564</v>
      </c>
      <c r="N88" s="512">
        <f>IF(J92&lt;D11,0,VLOOKUP(J92,C99:P154,7))</f>
        <v>9212.2569908153564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- Elk City 69 kV line (CT Upgrades)*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340.38949939529994</v>
      </c>
      <c r="N89" s="517">
        <f>+N88-N87</f>
        <v>340.38949939529994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TP2007015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84424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2010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84424</v>
      </c>
      <c r="G99" s="537">
        <v>42212</v>
      </c>
      <c r="H99" s="538">
        <v>0</v>
      </c>
      <c r="I99" s="539">
        <v>0</v>
      </c>
      <c r="J99" s="478">
        <f t="shared" ref="J99:J130" si="25">+I99-H99</f>
        <v>0</v>
      </c>
      <c r="K99" s="478"/>
      <c r="L99" s="554">
        <v>0</v>
      </c>
      <c r="M99" s="477">
        <f t="shared" ref="M99:M130" si="26">IF(L99&lt;&gt;0,+H99-L99,0)</f>
        <v>0</v>
      </c>
      <c r="N99" s="554">
        <v>0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84424</v>
      </c>
      <c r="E100" s="480">
        <v>1593</v>
      </c>
      <c r="F100" s="479">
        <v>82831</v>
      </c>
      <c r="G100" s="479">
        <v>83628</v>
      </c>
      <c r="H100" s="480">
        <v>14877</v>
      </c>
      <c r="I100" s="481">
        <v>14877</v>
      </c>
      <c r="J100" s="478">
        <f t="shared" si="25"/>
        <v>0</v>
      </c>
      <c r="K100" s="478"/>
      <c r="L100" s="476">
        <v>14877</v>
      </c>
      <c r="M100" s="478">
        <f t="shared" si="26"/>
        <v>0</v>
      </c>
      <c r="N100" s="476">
        <v>14877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29">IF(D101=F100,"","IU")</f>
        <v/>
      </c>
      <c r="C101" s="472">
        <f>IF(D93="","-",+C100+1)</f>
        <v>2009</v>
      </c>
      <c r="D101" s="473">
        <v>82831</v>
      </c>
      <c r="E101" s="480">
        <v>1508</v>
      </c>
      <c r="F101" s="479">
        <v>81323</v>
      </c>
      <c r="G101" s="479">
        <v>82077</v>
      </c>
      <c r="H101" s="480">
        <v>13508.337143636172</v>
      </c>
      <c r="I101" s="481">
        <v>13508.337143636172</v>
      </c>
      <c r="J101" s="478">
        <f t="shared" si="25"/>
        <v>0</v>
      </c>
      <c r="K101" s="478"/>
      <c r="L101" s="540">
        <f t="shared" ref="L101:L106" si="30">H101</f>
        <v>13508.337143636172</v>
      </c>
      <c r="M101" s="541">
        <f t="shared" si="26"/>
        <v>0</v>
      </c>
      <c r="N101" s="540">
        <f t="shared" ref="N101:N106" si="31">I101</f>
        <v>13508.337143636172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29"/>
        <v/>
      </c>
      <c r="C102" s="472">
        <f>IF(D93="","-",+C101+1)</f>
        <v>2010</v>
      </c>
      <c r="D102" s="473">
        <v>81323</v>
      </c>
      <c r="E102" s="480">
        <v>1655</v>
      </c>
      <c r="F102" s="479">
        <v>79668</v>
      </c>
      <c r="G102" s="479">
        <v>80495.5</v>
      </c>
      <c r="H102" s="480">
        <v>14599.901682354179</v>
      </c>
      <c r="I102" s="481">
        <v>14599.901682354179</v>
      </c>
      <c r="J102" s="478">
        <f t="shared" si="25"/>
        <v>0</v>
      </c>
      <c r="K102" s="478"/>
      <c r="L102" s="540">
        <f t="shared" si="30"/>
        <v>14599.901682354179</v>
      </c>
      <c r="M102" s="541">
        <f t="shared" si="26"/>
        <v>0</v>
      </c>
      <c r="N102" s="540">
        <f t="shared" si="31"/>
        <v>14599.901682354179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29"/>
        <v/>
      </c>
      <c r="C103" s="472">
        <f>IF(D93="","-",+C102+1)</f>
        <v>2011</v>
      </c>
      <c r="D103" s="473">
        <v>79668</v>
      </c>
      <c r="E103" s="480">
        <v>1624</v>
      </c>
      <c r="F103" s="479">
        <v>78044</v>
      </c>
      <c r="G103" s="479">
        <v>78856</v>
      </c>
      <c r="H103" s="480">
        <v>12649.128461660426</v>
      </c>
      <c r="I103" s="481">
        <v>12649.128461660426</v>
      </c>
      <c r="J103" s="478">
        <f t="shared" si="25"/>
        <v>0</v>
      </c>
      <c r="K103" s="478"/>
      <c r="L103" s="540">
        <f t="shared" si="30"/>
        <v>12649.128461660426</v>
      </c>
      <c r="M103" s="541">
        <f t="shared" si="26"/>
        <v>0</v>
      </c>
      <c r="N103" s="540">
        <f t="shared" si="31"/>
        <v>12649.128461660426</v>
      </c>
      <c r="O103" s="478">
        <f t="shared" si="27"/>
        <v>0</v>
      </c>
      <c r="P103" s="478">
        <f t="shared" si="28"/>
        <v>0</v>
      </c>
    </row>
    <row r="104" spans="1:16">
      <c r="B104" s="160" t="str">
        <f t="shared" si="29"/>
        <v/>
      </c>
      <c r="C104" s="472">
        <f>IF(D93="","-",+C103+1)</f>
        <v>2012</v>
      </c>
      <c r="D104" s="473">
        <v>78044</v>
      </c>
      <c r="E104" s="480">
        <v>1624</v>
      </c>
      <c r="F104" s="479">
        <v>76420</v>
      </c>
      <c r="G104" s="479">
        <v>77232</v>
      </c>
      <c r="H104" s="480">
        <v>12734.246570183563</v>
      </c>
      <c r="I104" s="481">
        <v>12734.246570183563</v>
      </c>
      <c r="J104" s="478">
        <v>0</v>
      </c>
      <c r="K104" s="478"/>
      <c r="L104" s="540">
        <f t="shared" si="30"/>
        <v>12734.246570183563</v>
      </c>
      <c r="M104" s="541">
        <f t="shared" ref="M104:M109" si="32">IF(L104&lt;&gt;0,+H104-L104,0)</f>
        <v>0</v>
      </c>
      <c r="N104" s="540">
        <f t="shared" si="31"/>
        <v>12734.246570183563</v>
      </c>
      <c r="O104" s="478">
        <f t="shared" ref="O104:O109" si="33">IF(N104&lt;&gt;0,+I104-N104,0)</f>
        <v>0</v>
      </c>
      <c r="P104" s="478">
        <f t="shared" ref="P104:P109" si="34">+O104-M104</f>
        <v>0</v>
      </c>
    </row>
    <row r="105" spans="1:16">
      <c r="B105" s="160" t="str">
        <f t="shared" si="29"/>
        <v/>
      </c>
      <c r="C105" s="472">
        <f>IF(D93="","-",+C104+1)</f>
        <v>2013</v>
      </c>
      <c r="D105" s="473">
        <v>76420</v>
      </c>
      <c r="E105" s="480">
        <v>1624</v>
      </c>
      <c r="F105" s="479">
        <v>74796</v>
      </c>
      <c r="G105" s="479">
        <v>75608</v>
      </c>
      <c r="H105" s="480">
        <v>12506.984818583547</v>
      </c>
      <c r="I105" s="481">
        <v>12506.984818583547</v>
      </c>
      <c r="J105" s="478">
        <v>0</v>
      </c>
      <c r="K105" s="478"/>
      <c r="L105" s="540">
        <f t="shared" si="30"/>
        <v>12506.984818583547</v>
      </c>
      <c r="M105" s="541">
        <f t="shared" si="32"/>
        <v>0</v>
      </c>
      <c r="N105" s="540">
        <f t="shared" si="31"/>
        <v>12506.984818583547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29"/>
        <v/>
      </c>
      <c r="C106" s="472">
        <f>IF(D93="","-",+C105+1)</f>
        <v>2014</v>
      </c>
      <c r="D106" s="473">
        <v>74796</v>
      </c>
      <c r="E106" s="480">
        <v>1624</v>
      </c>
      <c r="F106" s="479">
        <v>73172</v>
      </c>
      <c r="G106" s="479">
        <v>73984</v>
      </c>
      <c r="H106" s="480">
        <v>12025.847971361507</v>
      </c>
      <c r="I106" s="481">
        <v>12025.847971361507</v>
      </c>
      <c r="J106" s="478">
        <v>0</v>
      </c>
      <c r="K106" s="478"/>
      <c r="L106" s="540">
        <f t="shared" si="30"/>
        <v>12025.847971361507</v>
      </c>
      <c r="M106" s="541">
        <f t="shared" si="32"/>
        <v>0</v>
      </c>
      <c r="N106" s="540">
        <f t="shared" si="31"/>
        <v>12025.847971361507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29"/>
        <v/>
      </c>
      <c r="C107" s="472">
        <f>IF(D93="","-",+C106+1)</f>
        <v>2015</v>
      </c>
      <c r="D107" s="473">
        <v>73172</v>
      </c>
      <c r="E107" s="480">
        <v>1624</v>
      </c>
      <c r="F107" s="479">
        <v>71548</v>
      </c>
      <c r="G107" s="479">
        <v>72360</v>
      </c>
      <c r="H107" s="480">
        <v>11496.940196929139</v>
      </c>
      <c r="I107" s="481">
        <v>11496.940196929139</v>
      </c>
      <c r="J107" s="478">
        <f t="shared" si="25"/>
        <v>0</v>
      </c>
      <c r="K107" s="478"/>
      <c r="L107" s="540">
        <f t="shared" ref="L107:L112" si="35">H107</f>
        <v>11496.940196929139</v>
      </c>
      <c r="M107" s="541">
        <f t="shared" si="32"/>
        <v>0</v>
      </c>
      <c r="N107" s="540">
        <f t="shared" ref="N107:N112" si="36">I107</f>
        <v>11496.940196929139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29"/>
        <v/>
      </c>
      <c r="C108" s="472">
        <f>IF(D93="","-",+C107+1)</f>
        <v>2016</v>
      </c>
      <c r="D108" s="473">
        <v>71548</v>
      </c>
      <c r="E108" s="480">
        <v>1835</v>
      </c>
      <c r="F108" s="479">
        <v>69713</v>
      </c>
      <c r="G108" s="479">
        <v>70630.5</v>
      </c>
      <c r="H108" s="480">
        <v>10940.383800869789</v>
      </c>
      <c r="I108" s="481">
        <v>10940.383800869789</v>
      </c>
      <c r="J108" s="478">
        <f t="shared" si="25"/>
        <v>0</v>
      </c>
      <c r="K108" s="478"/>
      <c r="L108" s="540">
        <f t="shared" si="35"/>
        <v>10940.383800869789</v>
      </c>
      <c r="M108" s="541">
        <f t="shared" si="32"/>
        <v>0</v>
      </c>
      <c r="N108" s="540">
        <f t="shared" si="36"/>
        <v>10940.383800869789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29"/>
        <v/>
      </c>
      <c r="C109" s="472">
        <f>IF(D93="","-",+C108+1)</f>
        <v>2017</v>
      </c>
      <c r="D109" s="473">
        <v>69713</v>
      </c>
      <c r="E109" s="480">
        <v>1835</v>
      </c>
      <c r="F109" s="479">
        <v>67878</v>
      </c>
      <c r="G109" s="479">
        <v>68795.5</v>
      </c>
      <c r="H109" s="480">
        <v>10561.882642914878</v>
      </c>
      <c r="I109" s="481">
        <v>10561.882642914878</v>
      </c>
      <c r="J109" s="478">
        <f t="shared" si="25"/>
        <v>0</v>
      </c>
      <c r="K109" s="478"/>
      <c r="L109" s="540">
        <f t="shared" si="35"/>
        <v>10561.882642914878</v>
      </c>
      <c r="M109" s="541">
        <f t="shared" si="32"/>
        <v>0</v>
      </c>
      <c r="N109" s="540">
        <f t="shared" si="36"/>
        <v>10561.882642914878</v>
      </c>
      <c r="O109" s="478">
        <f t="shared" si="33"/>
        <v>0</v>
      </c>
      <c r="P109" s="478">
        <f t="shared" si="34"/>
        <v>0</v>
      </c>
    </row>
    <row r="110" spans="1:16">
      <c r="B110" s="160" t="str">
        <f t="shared" si="29"/>
        <v/>
      </c>
      <c r="C110" s="472">
        <f>IF(D93="","-",+C109+1)</f>
        <v>2018</v>
      </c>
      <c r="D110" s="473">
        <v>67878</v>
      </c>
      <c r="E110" s="480">
        <v>1963</v>
      </c>
      <c r="F110" s="479">
        <v>65915</v>
      </c>
      <c r="G110" s="479">
        <v>66896.5</v>
      </c>
      <c r="H110" s="480">
        <v>8835.6498462369182</v>
      </c>
      <c r="I110" s="481">
        <v>8835.6498462369182</v>
      </c>
      <c r="J110" s="478">
        <f t="shared" si="25"/>
        <v>0</v>
      </c>
      <c r="K110" s="478"/>
      <c r="L110" s="540">
        <f t="shared" si="35"/>
        <v>8835.6498462369182</v>
      </c>
      <c r="M110" s="541">
        <f t="shared" ref="M110" si="37">IF(L110&lt;&gt;0,+H110-L110,0)</f>
        <v>0</v>
      </c>
      <c r="N110" s="540">
        <f t="shared" si="36"/>
        <v>8835.6498462369182</v>
      </c>
      <c r="O110" s="478">
        <f t="shared" ref="O110" si="38">IF(N110&lt;&gt;0,+I110-N110,0)</f>
        <v>0</v>
      </c>
      <c r="P110" s="478">
        <f t="shared" ref="P110" si="39">+O110-M110</f>
        <v>0</v>
      </c>
    </row>
    <row r="111" spans="1:16">
      <c r="B111" s="160" t="str">
        <f t="shared" si="29"/>
        <v/>
      </c>
      <c r="C111" s="472">
        <f>IF(D93="","-",+C110+1)</f>
        <v>2019</v>
      </c>
      <c r="D111" s="473">
        <v>65915</v>
      </c>
      <c r="E111" s="480">
        <v>2059</v>
      </c>
      <c r="F111" s="479">
        <v>63856</v>
      </c>
      <c r="G111" s="479">
        <v>64885.5</v>
      </c>
      <c r="H111" s="480">
        <v>8749.6051392547379</v>
      </c>
      <c r="I111" s="481">
        <v>8749.6051392547379</v>
      </c>
      <c r="J111" s="478">
        <f t="shared" si="25"/>
        <v>0</v>
      </c>
      <c r="K111" s="478"/>
      <c r="L111" s="540">
        <f t="shared" si="35"/>
        <v>8749.6051392547379</v>
      </c>
      <c r="M111" s="541">
        <f t="shared" ref="M111:M112" si="40">IF(L111&lt;&gt;0,+H111-L111,0)</f>
        <v>0</v>
      </c>
      <c r="N111" s="540">
        <f t="shared" si="36"/>
        <v>8749.6051392547379</v>
      </c>
      <c r="O111" s="478">
        <f t="shared" si="27"/>
        <v>0</v>
      </c>
      <c r="P111" s="478">
        <f t="shared" si="28"/>
        <v>0</v>
      </c>
    </row>
    <row r="112" spans="1:16">
      <c r="B112" s="160" t="str">
        <f t="shared" si="29"/>
        <v/>
      </c>
      <c r="C112" s="472">
        <f>IF(D93="","-",+C111+1)</f>
        <v>2020</v>
      </c>
      <c r="D112" s="473">
        <v>63856</v>
      </c>
      <c r="E112" s="480">
        <v>1963</v>
      </c>
      <c r="F112" s="479">
        <v>61893</v>
      </c>
      <c r="G112" s="479">
        <v>62874.5</v>
      </c>
      <c r="H112" s="480">
        <v>9212.2569908153564</v>
      </c>
      <c r="I112" s="481">
        <v>9212.2569908153564</v>
      </c>
      <c r="J112" s="478">
        <f t="shared" si="25"/>
        <v>0</v>
      </c>
      <c r="K112" s="478"/>
      <c r="L112" s="540">
        <f t="shared" si="35"/>
        <v>9212.2569908153564</v>
      </c>
      <c r="M112" s="541">
        <f t="shared" si="40"/>
        <v>0</v>
      </c>
      <c r="N112" s="540">
        <f t="shared" si="36"/>
        <v>9212.2569908153564</v>
      </c>
      <c r="O112" s="478">
        <f t="shared" si="27"/>
        <v>0</v>
      </c>
      <c r="P112" s="478">
        <f t="shared" si="28"/>
        <v>0</v>
      </c>
    </row>
    <row r="113" spans="2:16">
      <c r="B113" s="160" t="str">
        <f t="shared" si="29"/>
        <v/>
      </c>
      <c r="C113" s="472">
        <f>IF(D93="","-",+C112+1)</f>
        <v>2021</v>
      </c>
      <c r="D113" s="346">
        <f>IF(F112+SUM(E$99:E112)=D$92,F112,D$92-SUM(E$99:E112))</f>
        <v>61893</v>
      </c>
      <c r="E113" s="486">
        <f>IF(+J96&lt;F112,J96,D113)</f>
        <v>2010</v>
      </c>
      <c r="F113" s="485">
        <f t="shared" ref="F113:F129" si="41">+D113-E113</f>
        <v>59883</v>
      </c>
      <c r="G113" s="485">
        <f t="shared" ref="G113:G129" si="42">+(F113+D113)/2</f>
        <v>60888</v>
      </c>
      <c r="H113" s="488">
        <f t="shared" ref="H113:H154" si="43">+J$94*G113+E113</f>
        <v>8574.4111347119488</v>
      </c>
      <c r="I113" s="542">
        <f t="shared" ref="I113:I154" si="44">+J$95*G113+E113</f>
        <v>8574.4111347119488</v>
      </c>
      <c r="J113" s="478">
        <f t="shared" si="25"/>
        <v>0</v>
      </c>
      <c r="K113" s="478"/>
      <c r="L113" s="487"/>
      <c r="M113" s="478">
        <f t="shared" si="26"/>
        <v>0</v>
      </c>
      <c r="N113" s="487"/>
      <c r="O113" s="478">
        <f t="shared" si="27"/>
        <v>0</v>
      </c>
      <c r="P113" s="478">
        <f t="shared" si="28"/>
        <v>0</v>
      </c>
    </row>
    <row r="114" spans="2:16">
      <c r="B114" s="160" t="str">
        <f t="shared" si="29"/>
        <v/>
      </c>
      <c r="C114" s="472">
        <f>IF(D93="","-",+C113+1)</f>
        <v>2022</v>
      </c>
      <c r="D114" s="346">
        <f>IF(F113+SUM(E$99:E113)=D$92,F113,D$92-SUM(E$99:E113))</f>
        <v>59883</v>
      </c>
      <c r="E114" s="486">
        <f>IF(+J96&lt;F113,J96,D114)</f>
        <v>2010</v>
      </c>
      <c r="F114" s="485">
        <f t="shared" si="41"/>
        <v>57873</v>
      </c>
      <c r="G114" s="485">
        <f t="shared" si="42"/>
        <v>58878</v>
      </c>
      <c r="H114" s="488">
        <f t="shared" si="43"/>
        <v>8357.7105306393714</v>
      </c>
      <c r="I114" s="542">
        <f t="shared" si="44"/>
        <v>8357.7105306393714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29"/>
        <v/>
      </c>
      <c r="C115" s="472">
        <f>IF(D93="","-",+C114+1)</f>
        <v>2023</v>
      </c>
      <c r="D115" s="346">
        <f>IF(F114+SUM(E$99:E114)=D$92,F114,D$92-SUM(E$99:E114))</f>
        <v>57873</v>
      </c>
      <c r="E115" s="486">
        <f>IF(+J96&lt;F114,J96,D115)</f>
        <v>2010</v>
      </c>
      <c r="F115" s="485">
        <f t="shared" si="41"/>
        <v>55863</v>
      </c>
      <c r="G115" s="485">
        <f t="shared" si="42"/>
        <v>56868</v>
      </c>
      <c r="H115" s="488">
        <f t="shared" si="43"/>
        <v>8141.0099265667968</v>
      </c>
      <c r="I115" s="542">
        <f t="shared" si="44"/>
        <v>8141.0099265667968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29"/>
        <v/>
      </c>
      <c r="C116" s="472">
        <f>IF(D93="","-",+C115+1)</f>
        <v>2024</v>
      </c>
      <c r="D116" s="346">
        <f>IF(F115+SUM(E$99:E115)=D$92,F115,D$92-SUM(E$99:E115))</f>
        <v>55863</v>
      </c>
      <c r="E116" s="486">
        <f>IF(+J96&lt;F115,J96,D116)</f>
        <v>2010</v>
      </c>
      <c r="F116" s="485">
        <f t="shared" si="41"/>
        <v>53853</v>
      </c>
      <c r="G116" s="485">
        <f t="shared" si="42"/>
        <v>54858</v>
      </c>
      <c r="H116" s="488">
        <f t="shared" si="43"/>
        <v>7924.3093224942204</v>
      </c>
      <c r="I116" s="542">
        <f t="shared" si="44"/>
        <v>7924.3093224942204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29"/>
        <v/>
      </c>
      <c r="C117" s="472">
        <f>IF(D93="","-",+C116+1)</f>
        <v>2025</v>
      </c>
      <c r="D117" s="346">
        <f>IF(F116+SUM(E$99:E116)=D$92,F116,D$92-SUM(E$99:E116))</f>
        <v>53853</v>
      </c>
      <c r="E117" s="486">
        <f>IF(+J96&lt;F116,J96,D117)</f>
        <v>2010</v>
      </c>
      <c r="F117" s="485">
        <f t="shared" si="41"/>
        <v>51843</v>
      </c>
      <c r="G117" s="485">
        <f t="shared" si="42"/>
        <v>52848</v>
      </c>
      <c r="H117" s="488">
        <f t="shared" si="43"/>
        <v>7707.608718421644</v>
      </c>
      <c r="I117" s="542">
        <f t="shared" si="44"/>
        <v>7707.608718421644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29"/>
        <v/>
      </c>
      <c r="C118" s="472">
        <f>IF(D93="","-",+C117+1)</f>
        <v>2026</v>
      </c>
      <c r="D118" s="346">
        <f>IF(F117+SUM(E$99:E117)=D$92,F117,D$92-SUM(E$99:E117))</f>
        <v>51843</v>
      </c>
      <c r="E118" s="486">
        <f>IF(+J96&lt;F117,J96,D118)</f>
        <v>2010</v>
      </c>
      <c r="F118" s="485">
        <f t="shared" si="41"/>
        <v>49833</v>
      </c>
      <c r="G118" s="485">
        <f t="shared" si="42"/>
        <v>50838</v>
      </c>
      <c r="H118" s="488">
        <f t="shared" si="43"/>
        <v>7490.9081143490685</v>
      </c>
      <c r="I118" s="542">
        <f t="shared" si="44"/>
        <v>7490.9081143490685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29"/>
        <v/>
      </c>
      <c r="C119" s="472">
        <f>IF(D93="","-",+C118+1)</f>
        <v>2027</v>
      </c>
      <c r="D119" s="346">
        <f>IF(F118+SUM(E$99:E118)=D$92,F118,D$92-SUM(E$99:E118))</f>
        <v>49833</v>
      </c>
      <c r="E119" s="486">
        <f>IF(+J96&lt;F118,J96,D119)</f>
        <v>2010</v>
      </c>
      <c r="F119" s="485">
        <f t="shared" si="41"/>
        <v>47823</v>
      </c>
      <c r="G119" s="485">
        <f t="shared" si="42"/>
        <v>48828</v>
      </c>
      <c r="H119" s="488">
        <f t="shared" si="43"/>
        <v>7274.207510276492</v>
      </c>
      <c r="I119" s="542">
        <f t="shared" si="44"/>
        <v>7274.207510276492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29"/>
        <v/>
      </c>
      <c r="C120" s="472">
        <f>IF(D93="","-",+C119+1)</f>
        <v>2028</v>
      </c>
      <c r="D120" s="346">
        <f>IF(F119+SUM(E$99:E119)=D$92,F119,D$92-SUM(E$99:E119))</f>
        <v>47823</v>
      </c>
      <c r="E120" s="486">
        <f>IF(+J96&lt;F119,J96,D120)</f>
        <v>2010</v>
      </c>
      <c r="F120" s="485">
        <f t="shared" si="41"/>
        <v>45813</v>
      </c>
      <c r="G120" s="485">
        <f t="shared" si="42"/>
        <v>46818</v>
      </c>
      <c r="H120" s="488">
        <f t="shared" si="43"/>
        <v>7057.5069062039156</v>
      </c>
      <c r="I120" s="542">
        <f t="shared" si="44"/>
        <v>7057.5069062039156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29"/>
        <v/>
      </c>
      <c r="C121" s="472">
        <f>IF(D93="","-",+C120+1)</f>
        <v>2029</v>
      </c>
      <c r="D121" s="346">
        <f>IF(F120+SUM(E$99:E120)=D$92,F120,D$92-SUM(E$99:E120))</f>
        <v>45813</v>
      </c>
      <c r="E121" s="486">
        <f>IF(+J96&lt;F120,J96,D121)</f>
        <v>2010</v>
      </c>
      <c r="F121" s="485">
        <f t="shared" si="41"/>
        <v>43803</v>
      </c>
      <c r="G121" s="485">
        <f t="shared" si="42"/>
        <v>44808</v>
      </c>
      <c r="H121" s="488">
        <f t="shared" si="43"/>
        <v>6840.8063021313392</v>
      </c>
      <c r="I121" s="542">
        <f t="shared" si="44"/>
        <v>6840.8063021313392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29"/>
        <v/>
      </c>
      <c r="C122" s="472">
        <f>IF(D93="","-",+C121+1)</f>
        <v>2030</v>
      </c>
      <c r="D122" s="346">
        <f>IF(F121+SUM(E$99:E121)=D$92,F121,D$92-SUM(E$99:E121))</f>
        <v>43803</v>
      </c>
      <c r="E122" s="486">
        <f>IF(+J96&lt;F121,J96,D122)</f>
        <v>2010</v>
      </c>
      <c r="F122" s="485">
        <f t="shared" si="41"/>
        <v>41793</v>
      </c>
      <c r="G122" s="485">
        <f t="shared" si="42"/>
        <v>42798</v>
      </c>
      <c r="H122" s="488">
        <f t="shared" si="43"/>
        <v>6624.1056980587637</v>
      </c>
      <c r="I122" s="542">
        <f t="shared" si="44"/>
        <v>6624.1056980587637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29"/>
        <v/>
      </c>
      <c r="C123" s="472">
        <f>IF(D93="","-",+C122+1)</f>
        <v>2031</v>
      </c>
      <c r="D123" s="346">
        <f>IF(F122+SUM(E$99:E122)=D$92,F122,D$92-SUM(E$99:E122))</f>
        <v>41793</v>
      </c>
      <c r="E123" s="486">
        <f>IF(+J96&lt;F122,J96,D123)</f>
        <v>2010</v>
      </c>
      <c r="F123" s="485">
        <f t="shared" si="41"/>
        <v>39783</v>
      </c>
      <c r="G123" s="485">
        <f t="shared" si="42"/>
        <v>40788</v>
      </c>
      <c r="H123" s="488">
        <f t="shared" si="43"/>
        <v>6407.4050939861872</v>
      </c>
      <c r="I123" s="542">
        <f t="shared" si="44"/>
        <v>6407.4050939861872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29"/>
        <v/>
      </c>
      <c r="C124" s="472">
        <f>IF(D93="","-",+C123+1)</f>
        <v>2032</v>
      </c>
      <c r="D124" s="346">
        <f>IF(F123+SUM(E$99:E123)=D$92,F123,D$92-SUM(E$99:E123))</f>
        <v>39783</v>
      </c>
      <c r="E124" s="486">
        <f>IF(+J96&lt;F123,J96,D124)</f>
        <v>2010</v>
      </c>
      <c r="F124" s="485">
        <f t="shared" si="41"/>
        <v>37773</v>
      </c>
      <c r="G124" s="485">
        <f t="shared" si="42"/>
        <v>38778</v>
      </c>
      <c r="H124" s="488">
        <f t="shared" si="43"/>
        <v>6190.7044899136108</v>
      </c>
      <c r="I124" s="542">
        <f t="shared" si="44"/>
        <v>6190.7044899136108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29"/>
        <v/>
      </c>
      <c r="C125" s="472">
        <f>IF(D93="","-",+C124+1)</f>
        <v>2033</v>
      </c>
      <c r="D125" s="346">
        <f>IF(F124+SUM(E$99:E124)=D$92,F124,D$92-SUM(E$99:E124))</f>
        <v>37773</v>
      </c>
      <c r="E125" s="486">
        <f>IF(+J96&lt;F124,J96,D125)</f>
        <v>2010</v>
      </c>
      <c r="F125" s="485">
        <f t="shared" si="41"/>
        <v>35763</v>
      </c>
      <c r="G125" s="485">
        <f t="shared" si="42"/>
        <v>36768</v>
      </c>
      <c r="H125" s="488">
        <f t="shared" si="43"/>
        <v>5974.0038858410353</v>
      </c>
      <c r="I125" s="542">
        <f t="shared" si="44"/>
        <v>5974.0038858410353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29"/>
        <v/>
      </c>
      <c r="C126" s="472">
        <f>IF(D93="","-",+C125+1)</f>
        <v>2034</v>
      </c>
      <c r="D126" s="346">
        <f>IF(F125+SUM(E$99:E125)=D$92,F125,D$92-SUM(E$99:E125))</f>
        <v>35763</v>
      </c>
      <c r="E126" s="486">
        <f>IF(+J96&lt;F125,J96,D126)</f>
        <v>2010</v>
      </c>
      <c r="F126" s="485">
        <f t="shared" si="41"/>
        <v>33753</v>
      </c>
      <c r="G126" s="485">
        <f t="shared" si="42"/>
        <v>34758</v>
      </c>
      <c r="H126" s="488">
        <f t="shared" si="43"/>
        <v>5757.3032817684589</v>
      </c>
      <c r="I126" s="542">
        <f t="shared" si="44"/>
        <v>5757.3032817684589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29"/>
        <v/>
      </c>
      <c r="C127" s="472">
        <f>IF(D93="","-",+C126+1)</f>
        <v>2035</v>
      </c>
      <c r="D127" s="346">
        <f>IF(F126+SUM(E$99:E126)=D$92,F126,D$92-SUM(E$99:E126))</f>
        <v>33753</v>
      </c>
      <c r="E127" s="486">
        <f>IF(+J96&lt;F126,J96,D127)</f>
        <v>2010</v>
      </c>
      <c r="F127" s="485">
        <f t="shared" si="41"/>
        <v>31743</v>
      </c>
      <c r="G127" s="485">
        <f t="shared" si="42"/>
        <v>32748</v>
      </c>
      <c r="H127" s="488">
        <f t="shared" si="43"/>
        <v>5540.6026776958824</v>
      </c>
      <c r="I127" s="542">
        <f t="shared" si="44"/>
        <v>5540.6026776958824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29"/>
        <v/>
      </c>
      <c r="C128" s="472">
        <f>IF(D93="","-",+C127+1)</f>
        <v>2036</v>
      </c>
      <c r="D128" s="346">
        <f>IF(F127+SUM(E$99:E127)=D$92,F127,D$92-SUM(E$99:E127))</f>
        <v>31743</v>
      </c>
      <c r="E128" s="486">
        <f>IF(+J96&lt;F127,J96,D128)</f>
        <v>2010</v>
      </c>
      <c r="F128" s="485">
        <f t="shared" si="41"/>
        <v>29733</v>
      </c>
      <c r="G128" s="485">
        <f t="shared" si="42"/>
        <v>30738</v>
      </c>
      <c r="H128" s="488">
        <f t="shared" si="43"/>
        <v>5323.9020736233069</v>
      </c>
      <c r="I128" s="542">
        <f t="shared" si="44"/>
        <v>5323.9020736233069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29"/>
        <v/>
      </c>
      <c r="C129" s="472">
        <f>IF(D93="","-",+C128+1)</f>
        <v>2037</v>
      </c>
      <c r="D129" s="346">
        <f>IF(F128+SUM(E$99:E128)=D$92,F128,D$92-SUM(E$99:E128))</f>
        <v>29733</v>
      </c>
      <c r="E129" s="486">
        <f>IF(+J96&lt;F128,J96,D129)</f>
        <v>2010</v>
      </c>
      <c r="F129" s="485">
        <f t="shared" si="41"/>
        <v>27723</v>
      </c>
      <c r="G129" s="485">
        <f t="shared" si="42"/>
        <v>28728</v>
      </c>
      <c r="H129" s="488">
        <f t="shared" si="43"/>
        <v>5107.2014695507305</v>
      </c>
      <c r="I129" s="542">
        <f t="shared" si="44"/>
        <v>5107.2014695507305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29"/>
        <v/>
      </c>
      <c r="C130" s="472">
        <f>IF(D93="","-",+C129+1)</f>
        <v>2038</v>
      </c>
      <c r="D130" s="346">
        <f>IF(F129+SUM(E$99:E129)=D$92,F129,D$92-SUM(E$99:E129))</f>
        <v>27723</v>
      </c>
      <c r="E130" s="486">
        <f>IF(+J96&lt;F129,J96,D130)</f>
        <v>2010</v>
      </c>
      <c r="F130" s="485">
        <f t="shared" ref="F130:F153" si="45">+D130-E130</f>
        <v>25713</v>
      </c>
      <c r="G130" s="485">
        <f t="shared" ref="G130:G153" si="46">+(F130+D130)/2</f>
        <v>26718</v>
      </c>
      <c r="H130" s="488">
        <f t="shared" si="43"/>
        <v>4890.5008654781541</v>
      </c>
      <c r="I130" s="542">
        <f t="shared" si="44"/>
        <v>4890.5008654781541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29"/>
        <v/>
      </c>
      <c r="C131" s="472">
        <f>IF(D93="","-",+C130+1)</f>
        <v>2039</v>
      </c>
      <c r="D131" s="346">
        <f>IF(F130+SUM(E$99:E130)=D$92,F130,D$92-SUM(E$99:E130))</f>
        <v>25713</v>
      </c>
      <c r="E131" s="486">
        <f>IF(+J96&lt;F130,J96,D131)</f>
        <v>2010</v>
      </c>
      <c r="F131" s="485">
        <f t="shared" si="45"/>
        <v>23703</v>
      </c>
      <c r="G131" s="485">
        <f t="shared" si="46"/>
        <v>24708</v>
      </c>
      <c r="H131" s="488">
        <f t="shared" si="43"/>
        <v>4673.8002614055786</v>
      </c>
      <c r="I131" s="542">
        <f t="shared" si="44"/>
        <v>4673.8002614055786</v>
      </c>
      <c r="J131" s="478">
        <f t="shared" ref="J131:J154" si="47">+I382-H382</f>
        <v>0</v>
      </c>
      <c r="K131" s="478"/>
      <c r="L131" s="487"/>
      <c r="M131" s="478">
        <f t="shared" ref="M131:M154" si="48">IF(L382&lt;&gt;0,+H382-L382,0)</f>
        <v>0</v>
      </c>
      <c r="N131" s="487"/>
      <c r="O131" s="478">
        <f t="shared" ref="O131:O154" si="49">IF(N382&lt;&gt;0,+I382-N382,0)</f>
        <v>0</v>
      </c>
      <c r="P131" s="478">
        <f t="shared" ref="P131:P154" si="50">+O382-M382</f>
        <v>0</v>
      </c>
    </row>
    <row r="132" spans="2:16">
      <c r="B132" s="160" t="str">
        <f t="shared" si="29"/>
        <v/>
      </c>
      <c r="C132" s="472">
        <f>IF(D93="","-",+C131+1)</f>
        <v>2040</v>
      </c>
      <c r="D132" s="346">
        <f>IF(F131+SUM(E$99:E131)=D$92,F131,D$92-SUM(E$99:E131))</f>
        <v>23703</v>
      </c>
      <c r="E132" s="486">
        <f>IF(+J96&lt;F131,J96,D132)</f>
        <v>2010</v>
      </c>
      <c r="F132" s="485">
        <f t="shared" si="45"/>
        <v>21693</v>
      </c>
      <c r="G132" s="485">
        <f t="shared" si="46"/>
        <v>22698</v>
      </c>
      <c r="H132" s="488">
        <f t="shared" si="43"/>
        <v>4457.0996573330012</v>
      </c>
      <c r="I132" s="542">
        <f t="shared" si="44"/>
        <v>4457.0996573330012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29"/>
        <v/>
      </c>
      <c r="C133" s="472">
        <f>IF(D93="","-",+C132+1)</f>
        <v>2041</v>
      </c>
      <c r="D133" s="346">
        <f>IF(F132+SUM(E$99:E132)=D$92,F132,D$92-SUM(E$99:E132))</f>
        <v>21693</v>
      </c>
      <c r="E133" s="486">
        <f>IF(+J96&lt;F132,J96,D133)</f>
        <v>2010</v>
      </c>
      <c r="F133" s="485">
        <f t="shared" si="45"/>
        <v>19683</v>
      </c>
      <c r="G133" s="485">
        <f t="shared" si="46"/>
        <v>20688</v>
      </c>
      <c r="H133" s="488">
        <f t="shared" si="43"/>
        <v>4240.3990532604257</v>
      </c>
      <c r="I133" s="542">
        <f t="shared" si="44"/>
        <v>4240.3990532604257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29"/>
        <v/>
      </c>
      <c r="C134" s="472">
        <f>IF(D93="","-",+C133+1)</f>
        <v>2042</v>
      </c>
      <c r="D134" s="346">
        <f>IF(F133+SUM(E$99:E133)=D$92,F133,D$92-SUM(E$99:E133))</f>
        <v>19683</v>
      </c>
      <c r="E134" s="486">
        <f>IF(+J96&lt;F133,J96,D134)</f>
        <v>2010</v>
      </c>
      <c r="F134" s="485">
        <f t="shared" si="45"/>
        <v>17673</v>
      </c>
      <c r="G134" s="485">
        <f t="shared" si="46"/>
        <v>18678</v>
      </c>
      <c r="H134" s="488">
        <f t="shared" si="43"/>
        <v>4023.6984491878493</v>
      </c>
      <c r="I134" s="542">
        <f t="shared" si="44"/>
        <v>4023.6984491878493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29"/>
        <v/>
      </c>
      <c r="C135" s="472">
        <f>IF(D93="","-",+C134+1)</f>
        <v>2043</v>
      </c>
      <c r="D135" s="346">
        <f>IF(F134+SUM(E$99:E134)=D$92,F134,D$92-SUM(E$99:E134))</f>
        <v>17673</v>
      </c>
      <c r="E135" s="486">
        <f>IF(+J96&lt;F134,J96,D135)</f>
        <v>2010</v>
      </c>
      <c r="F135" s="485">
        <f t="shared" si="45"/>
        <v>15663</v>
      </c>
      <c r="G135" s="485">
        <f t="shared" si="46"/>
        <v>16668</v>
      </c>
      <c r="H135" s="488">
        <f t="shared" si="43"/>
        <v>3806.9978451152733</v>
      </c>
      <c r="I135" s="542">
        <f t="shared" si="44"/>
        <v>3806.9978451152733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29"/>
        <v/>
      </c>
      <c r="C136" s="472">
        <f>IF(D93="","-",+C135+1)</f>
        <v>2044</v>
      </c>
      <c r="D136" s="346">
        <f>IF(F135+SUM(E$99:E135)=D$92,F135,D$92-SUM(E$99:E135))</f>
        <v>15663</v>
      </c>
      <c r="E136" s="486">
        <f>IF(+J96&lt;F135,J96,D136)</f>
        <v>2010</v>
      </c>
      <c r="F136" s="485">
        <f t="shared" si="45"/>
        <v>13653</v>
      </c>
      <c r="G136" s="485">
        <f t="shared" si="46"/>
        <v>14658</v>
      </c>
      <c r="H136" s="488">
        <f t="shared" si="43"/>
        <v>3590.2972410426974</v>
      </c>
      <c r="I136" s="542">
        <f t="shared" si="44"/>
        <v>3590.2972410426974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29"/>
        <v/>
      </c>
      <c r="C137" s="472">
        <f>IF(D93="","-",+C136+1)</f>
        <v>2045</v>
      </c>
      <c r="D137" s="346">
        <f>IF(F136+SUM(E$99:E136)=D$92,F136,D$92-SUM(E$99:E136))</f>
        <v>13653</v>
      </c>
      <c r="E137" s="486">
        <f>IF(+J96&lt;F136,J96,D137)</f>
        <v>2010</v>
      </c>
      <c r="F137" s="485">
        <f t="shared" si="45"/>
        <v>11643</v>
      </c>
      <c r="G137" s="485">
        <f t="shared" si="46"/>
        <v>12648</v>
      </c>
      <c r="H137" s="488">
        <f t="shared" si="43"/>
        <v>3373.5966369701209</v>
      </c>
      <c r="I137" s="542">
        <f t="shared" si="44"/>
        <v>3373.5966369701209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29"/>
        <v/>
      </c>
      <c r="C138" s="472">
        <f>IF(D93="","-",+C137+1)</f>
        <v>2046</v>
      </c>
      <c r="D138" s="346">
        <f>IF(F137+SUM(E$99:E137)=D$92,F137,D$92-SUM(E$99:E137))</f>
        <v>11643</v>
      </c>
      <c r="E138" s="486">
        <f>IF(+J96&lt;F137,J96,D138)</f>
        <v>2010</v>
      </c>
      <c r="F138" s="485">
        <f t="shared" si="45"/>
        <v>9633</v>
      </c>
      <c r="G138" s="485">
        <f t="shared" si="46"/>
        <v>10638</v>
      </c>
      <c r="H138" s="488">
        <f t="shared" si="43"/>
        <v>3156.896032897545</v>
      </c>
      <c r="I138" s="542">
        <f t="shared" si="44"/>
        <v>3156.896032897545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29"/>
        <v/>
      </c>
      <c r="C139" s="472">
        <f>IF(D93="","-",+C138+1)</f>
        <v>2047</v>
      </c>
      <c r="D139" s="346">
        <f>IF(F138+SUM(E$99:E138)=D$92,F138,D$92-SUM(E$99:E138))</f>
        <v>9633</v>
      </c>
      <c r="E139" s="486">
        <f>IF(+J96&lt;F138,J96,D139)</f>
        <v>2010</v>
      </c>
      <c r="F139" s="485">
        <f t="shared" si="45"/>
        <v>7623</v>
      </c>
      <c r="G139" s="485">
        <f t="shared" si="46"/>
        <v>8628</v>
      </c>
      <c r="H139" s="488">
        <f t="shared" si="43"/>
        <v>2940.195428824969</v>
      </c>
      <c r="I139" s="542">
        <f t="shared" si="44"/>
        <v>2940.195428824969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29"/>
        <v/>
      </c>
      <c r="C140" s="472">
        <f>IF(D93="","-",+C139+1)</f>
        <v>2048</v>
      </c>
      <c r="D140" s="346">
        <f>IF(F139+SUM(E$99:E139)=D$92,F139,D$92-SUM(E$99:E139))</f>
        <v>7623</v>
      </c>
      <c r="E140" s="486">
        <f>IF(+J96&lt;F139,J96,D140)</f>
        <v>2010</v>
      </c>
      <c r="F140" s="485">
        <f t="shared" si="45"/>
        <v>5613</v>
      </c>
      <c r="G140" s="485">
        <f t="shared" si="46"/>
        <v>6618</v>
      </c>
      <c r="H140" s="488">
        <f t="shared" si="43"/>
        <v>2723.4948247523926</v>
      </c>
      <c r="I140" s="542">
        <f t="shared" si="44"/>
        <v>2723.4948247523926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29"/>
        <v/>
      </c>
      <c r="C141" s="472">
        <f>IF(D93="","-",+C140+1)</f>
        <v>2049</v>
      </c>
      <c r="D141" s="346">
        <f>IF(F140+SUM(E$99:E140)=D$92,F140,D$92-SUM(E$99:E140))</f>
        <v>5613</v>
      </c>
      <c r="E141" s="486">
        <f>IF(+J96&lt;F140,J96,D141)</f>
        <v>2010</v>
      </c>
      <c r="F141" s="485">
        <f t="shared" si="45"/>
        <v>3603</v>
      </c>
      <c r="G141" s="485">
        <f t="shared" si="46"/>
        <v>4608</v>
      </c>
      <c r="H141" s="488">
        <f t="shared" si="43"/>
        <v>2506.7942206798161</v>
      </c>
      <c r="I141" s="542">
        <f t="shared" si="44"/>
        <v>2506.7942206798161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29"/>
        <v/>
      </c>
      <c r="C142" s="472">
        <f>IF(D93="","-",+C141+1)</f>
        <v>2050</v>
      </c>
      <c r="D142" s="346">
        <f>IF(F141+SUM(E$99:E141)=D$92,F141,D$92-SUM(E$99:E141))</f>
        <v>3603</v>
      </c>
      <c r="E142" s="486">
        <f>IF(+J96&lt;F141,J96,D142)</f>
        <v>2010</v>
      </c>
      <c r="F142" s="485">
        <f t="shared" si="45"/>
        <v>1593</v>
      </c>
      <c r="G142" s="485">
        <f t="shared" si="46"/>
        <v>2598</v>
      </c>
      <c r="H142" s="488">
        <f t="shared" si="43"/>
        <v>2290.0936166072402</v>
      </c>
      <c r="I142" s="542">
        <f t="shared" si="44"/>
        <v>2290.0936166072402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29"/>
        <v/>
      </c>
      <c r="C143" s="472">
        <f>IF(D93="","-",+C142+1)</f>
        <v>2051</v>
      </c>
      <c r="D143" s="346">
        <f>IF(F142+SUM(E$99:E142)=D$92,F142,D$92-SUM(E$99:E142))</f>
        <v>1593</v>
      </c>
      <c r="E143" s="486">
        <f>IF(+J96&lt;F142,J96,D143)</f>
        <v>1593</v>
      </c>
      <c r="F143" s="485">
        <f t="shared" si="45"/>
        <v>0</v>
      </c>
      <c r="G143" s="485">
        <f t="shared" si="46"/>
        <v>796.5</v>
      </c>
      <c r="H143" s="488">
        <f t="shared" si="43"/>
        <v>1678.871657285476</v>
      </c>
      <c r="I143" s="542">
        <f t="shared" si="44"/>
        <v>1678.871657285476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29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8">
        <f t="shared" si="43"/>
        <v>0</v>
      </c>
      <c r="I144" s="542">
        <f t="shared" si="44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29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8">
        <f t="shared" si="43"/>
        <v>0</v>
      </c>
      <c r="I145" s="542">
        <f t="shared" si="44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29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8">
        <f t="shared" si="43"/>
        <v>0</v>
      </c>
      <c r="I146" s="542">
        <f t="shared" si="44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29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8">
        <f t="shared" si="43"/>
        <v>0</v>
      </c>
      <c r="I147" s="542">
        <f t="shared" si="44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29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8">
        <f t="shared" si="43"/>
        <v>0</v>
      </c>
      <c r="I148" s="542">
        <f t="shared" si="44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29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8">
        <f t="shared" si="43"/>
        <v>0</v>
      </c>
      <c r="I149" s="542">
        <f t="shared" si="44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29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8">
        <f t="shared" si="43"/>
        <v>0</v>
      </c>
      <c r="I150" s="542">
        <f t="shared" si="44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29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8">
        <f t="shared" si="43"/>
        <v>0</v>
      </c>
      <c r="I151" s="542">
        <f t="shared" si="44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29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8">
        <f t="shared" si="43"/>
        <v>0</v>
      </c>
      <c r="I152" s="542">
        <f t="shared" si="44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29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8">
        <f t="shared" si="43"/>
        <v>0</v>
      </c>
      <c r="I153" s="542">
        <f t="shared" si="44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29"/>
        <v/>
      </c>
      <c r="C154" s="489">
        <f>IF(D93="","-",+C153+1)</f>
        <v>2062</v>
      </c>
      <c r="D154" s="543">
        <f>IF(F153+SUM(E$99:E153)=D$92,F153,D$92-SUM(E$99:E153))</f>
        <v>0</v>
      </c>
      <c r="E154" s="544">
        <f>IF(+J96&lt;F153,J96,D154)</f>
        <v>0</v>
      </c>
      <c r="F154" s="490">
        <f>+D154-E154</f>
        <v>0</v>
      </c>
      <c r="G154" s="490">
        <f>+(F154+D154)/2</f>
        <v>0</v>
      </c>
      <c r="H154" s="492">
        <f t="shared" si="43"/>
        <v>0</v>
      </c>
      <c r="I154" s="545">
        <f t="shared" si="44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6" t="s">
        <v>77</v>
      </c>
      <c r="D155" s="347"/>
      <c r="E155" s="347">
        <f>SUM(E99:E154)</f>
        <v>84424</v>
      </c>
      <c r="F155" s="347"/>
      <c r="G155" s="347"/>
      <c r="H155" s="347">
        <f>SUM(H99:H154)</f>
        <v>317344.60819187353</v>
      </c>
      <c r="I155" s="347">
        <f>SUM(I99:I154)</f>
        <v>317344.60819187353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4" priority="1" stopIfTrue="1" operator="equal">
      <formula>$I$10</formula>
    </cfRule>
  </conditionalFormatting>
  <conditionalFormatting sqref="C99:C154">
    <cfRule type="cellIs" dxfId="53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6">
    <tabColor rgb="FFC00000"/>
  </sheetPr>
  <dimension ref="A1:P162"/>
  <sheetViews>
    <sheetView view="pageBreakPreview" topLeftCell="A7" zoomScale="75" zoomScaleNormal="100" workbookViewId="0">
      <selection activeCell="D18" sqref="D18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8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5328.2273193212004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5328.2273193212004</v>
      </c>
      <c r="O6" s="232"/>
      <c r="P6" s="232"/>
    </row>
    <row r="7" spans="1:16" ht="13.5" thickBot="1">
      <c r="C7" s="431" t="s">
        <v>46</v>
      </c>
      <c r="D7" s="432" t="s">
        <v>215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87</v>
      </c>
      <c r="E9" s="577" t="s">
        <v>347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56133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1336.5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2006</v>
      </c>
      <c r="D17" s="473">
        <v>56133</v>
      </c>
      <c r="E17" s="474">
        <v>752</v>
      </c>
      <c r="F17" s="473">
        <v>55381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2007</v>
      </c>
      <c r="D18" s="479">
        <v>55381</v>
      </c>
      <c r="E18" s="480">
        <v>1002</v>
      </c>
      <c r="F18" s="479">
        <v>54379</v>
      </c>
      <c r="G18" s="480">
        <v>0</v>
      </c>
      <c r="H18" s="481">
        <v>0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2008</v>
      </c>
      <c r="D19" s="479">
        <v>54379</v>
      </c>
      <c r="E19" s="480">
        <v>1002</v>
      </c>
      <c r="F19" s="479">
        <v>53377</v>
      </c>
      <c r="G19" s="480">
        <v>0</v>
      </c>
      <c r="H19" s="481">
        <v>0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4">IF(D20=F19,"","IU")</f>
        <v/>
      </c>
      <c r="C20" s="472">
        <f>IF(D11="","-",+C19+1)</f>
        <v>2009</v>
      </c>
      <c r="D20" s="479">
        <v>53377</v>
      </c>
      <c r="E20" s="480">
        <v>1002</v>
      </c>
      <c r="F20" s="479">
        <v>52375</v>
      </c>
      <c r="G20" s="480">
        <v>0</v>
      </c>
      <c r="H20" s="481">
        <v>0</v>
      </c>
      <c r="I20" s="475">
        <f t="shared" si="0"/>
        <v>0</v>
      </c>
      <c r="J20" s="475"/>
      <c r="K20" s="476">
        <v>0</v>
      </c>
      <c r="L20" s="478">
        <f t="shared" si="1"/>
        <v>0</v>
      </c>
      <c r="M20" s="476">
        <v>0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4"/>
        <v/>
      </c>
      <c r="C21" s="472">
        <f>IF(D11="","-",+C20+1)</f>
        <v>2010</v>
      </c>
      <c r="D21" s="479">
        <v>52375</v>
      </c>
      <c r="E21" s="480">
        <v>1002.375</v>
      </c>
      <c r="F21" s="479">
        <v>51372.625</v>
      </c>
      <c r="G21" s="480">
        <v>8415.2657154769768</v>
      </c>
      <c r="H21" s="481">
        <v>8415.2657154769768</v>
      </c>
      <c r="I21" s="475">
        <f t="shared" si="0"/>
        <v>0</v>
      </c>
      <c r="J21" s="475"/>
      <c r="K21" s="476">
        <f t="shared" ref="K21:K26" si="5">G21</f>
        <v>8415.2657154769768</v>
      </c>
      <c r="L21" s="550">
        <f t="shared" si="1"/>
        <v>0</v>
      </c>
      <c r="M21" s="476">
        <f t="shared" ref="M21:M26" si="6">H21</f>
        <v>8415.2657154769768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4"/>
        <v/>
      </c>
      <c r="C22" s="472">
        <f>IF(D11="","-",+C21+1)</f>
        <v>2011</v>
      </c>
      <c r="D22" s="479">
        <v>51372.625</v>
      </c>
      <c r="E22" s="480">
        <v>1100.6470588235295</v>
      </c>
      <c r="F22" s="479">
        <v>50271.977941176468</v>
      </c>
      <c r="G22" s="480">
        <v>8970.3904929935452</v>
      </c>
      <c r="H22" s="481">
        <v>8970.3904929935452</v>
      </c>
      <c r="I22" s="475">
        <f t="shared" si="0"/>
        <v>0</v>
      </c>
      <c r="J22" s="475"/>
      <c r="K22" s="476">
        <f t="shared" si="5"/>
        <v>8970.3904929935452</v>
      </c>
      <c r="L22" s="550">
        <f t="shared" si="1"/>
        <v>0</v>
      </c>
      <c r="M22" s="476">
        <f t="shared" si="6"/>
        <v>8970.3904929935452</v>
      </c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4"/>
        <v/>
      </c>
      <c r="C23" s="472">
        <f>IF(D11="","-",+C22+1)</f>
        <v>2012</v>
      </c>
      <c r="D23" s="479">
        <v>50271.977941176468</v>
      </c>
      <c r="E23" s="480">
        <v>1079.4807692307693</v>
      </c>
      <c r="F23" s="479">
        <v>49192.497171945703</v>
      </c>
      <c r="G23" s="480">
        <v>7927.4076335998161</v>
      </c>
      <c r="H23" s="481">
        <v>7927.4076335998161</v>
      </c>
      <c r="I23" s="475">
        <f t="shared" si="0"/>
        <v>0</v>
      </c>
      <c r="J23" s="475"/>
      <c r="K23" s="476">
        <f t="shared" si="5"/>
        <v>7927.4076335998161</v>
      </c>
      <c r="L23" s="550">
        <f t="shared" si="1"/>
        <v>0</v>
      </c>
      <c r="M23" s="476">
        <f t="shared" si="6"/>
        <v>7927.4076335998161</v>
      </c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4"/>
        <v/>
      </c>
      <c r="C24" s="472">
        <f>IF(D11="","-",+C23+1)</f>
        <v>2013</v>
      </c>
      <c r="D24" s="479">
        <v>49192.497171945703</v>
      </c>
      <c r="E24" s="480">
        <v>1079.4807692307693</v>
      </c>
      <c r="F24" s="479">
        <v>48113.016402714937</v>
      </c>
      <c r="G24" s="480">
        <v>7950.3447729090094</v>
      </c>
      <c r="H24" s="481">
        <v>7950.3447729090094</v>
      </c>
      <c r="I24" s="475">
        <v>0</v>
      </c>
      <c r="J24" s="475"/>
      <c r="K24" s="476">
        <f t="shared" si="5"/>
        <v>7950.3447729090094</v>
      </c>
      <c r="L24" s="550">
        <f t="shared" ref="L24:L29" si="7">IF(K24&lt;&gt;0,+G24-K24,0)</f>
        <v>0</v>
      </c>
      <c r="M24" s="476">
        <f t="shared" si="6"/>
        <v>7950.3447729090094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>
      <c r="B25" s="160" t="str">
        <f t="shared" si="4"/>
        <v/>
      </c>
      <c r="C25" s="472">
        <f>IF(D11="","-",+C24+1)</f>
        <v>2014</v>
      </c>
      <c r="D25" s="479">
        <v>48113.016402714937</v>
      </c>
      <c r="E25" s="480">
        <v>1079.4807692307693</v>
      </c>
      <c r="F25" s="479">
        <v>47033.535633484171</v>
      </c>
      <c r="G25" s="480">
        <v>7554.0593246775043</v>
      </c>
      <c r="H25" s="481">
        <v>7554.0593246775043</v>
      </c>
      <c r="I25" s="475">
        <v>0</v>
      </c>
      <c r="J25" s="475"/>
      <c r="K25" s="476">
        <f t="shared" si="5"/>
        <v>7554.0593246775043</v>
      </c>
      <c r="L25" s="550">
        <f t="shared" si="7"/>
        <v>0</v>
      </c>
      <c r="M25" s="476">
        <f t="shared" si="6"/>
        <v>7554.0593246775043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4"/>
        <v/>
      </c>
      <c r="C26" s="472">
        <f>IF(D11="","-",+C25+1)</f>
        <v>2015</v>
      </c>
      <c r="D26" s="479">
        <v>47033.535633484171</v>
      </c>
      <c r="E26" s="480">
        <v>1079.4807692307693</v>
      </c>
      <c r="F26" s="479">
        <v>45954.054864253405</v>
      </c>
      <c r="G26" s="480">
        <v>7415.24244849963</v>
      </c>
      <c r="H26" s="481">
        <v>7415.24244849963</v>
      </c>
      <c r="I26" s="475">
        <v>0</v>
      </c>
      <c r="J26" s="475"/>
      <c r="K26" s="476">
        <f t="shared" si="5"/>
        <v>7415.24244849963</v>
      </c>
      <c r="L26" s="550">
        <f t="shared" si="7"/>
        <v>0</v>
      </c>
      <c r="M26" s="476">
        <f t="shared" si="6"/>
        <v>7415.24244849963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4"/>
        <v/>
      </c>
      <c r="C27" s="472">
        <f>IF(D11="","-",+C26+1)</f>
        <v>2016</v>
      </c>
      <c r="D27" s="479">
        <v>45954.054864253405</v>
      </c>
      <c r="E27" s="480">
        <v>1079.4807692307693</v>
      </c>
      <c r="F27" s="479">
        <v>44874.574095022639</v>
      </c>
      <c r="G27" s="480">
        <v>6965.2134846377958</v>
      </c>
      <c r="H27" s="481">
        <v>6965.2134846377958</v>
      </c>
      <c r="I27" s="475">
        <f t="shared" si="0"/>
        <v>0</v>
      </c>
      <c r="J27" s="475"/>
      <c r="K27" s="476">
        <f t="shared" ref="K27:K32" si="10">G27</f>
        <v>6965.2134846377958</v>
      </c>
      <c r="L27" s="550">
        <f t="shared" si="7"/>
        <v>0</v>
      </c>
      <c r="M27" s="476">
        <f t="shared" ref="M27:M32" si="11">H27</f>
        <v>6965.2134846377958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4"/>
        <v/>
      </c>
      <c r="C28" s="472">
        <f>IF(D11="","-",+C27+1)</f>
        <v>2017</v>
      </c>
      <c r="D28" s="479">
        <v>44874.574095022639</v>
      </c>
      <c r="E28" s="480">
        <v>1220.2826086956522</v>
      </c>
      <c r="F28" s="479">
        <v>43654.291486326983</v>
      </c>
      <c r="G28" s="480">
        <v>6775.7563240948048</v>
      </c>
      <c r="H28" s="481">
        <v>6775.7563240948048</v>
      </c>
      <c r="I28" s="475">
        <f t="shared" si="0"/>
        <v>0</v>
      </c>
      <c r="J28" s="475"/>
      <c r="K28" s="476">
        <f t="shared" si="10"/>
        <v>6775.7563240948048</v>
      </c>
      <c r="L28" s="550">
        <f t="shared" si="7"/>
        <v>0</v>
      </c>
      <c r="M28" s="476">
        <f t="shared" si="11"/>
        <v>6775.7563240948048</v>
      </c>
      <c r="N28" s="478">
        <f t="shared" si="8"/>
        <v>0</v>
      </c>
      <c r="O28" s="478">
        <f t="shared" si="9"/>
        <v>0</v>
      </c>
      <c r="P28" s="242"/>
    </row>
    <row r="29" spans="2:16">
      <c r="B29" s="160" t="str">
        <f t="shared" si="4"/>
        <v/>
      </c>
      <c r="C29" s="472">
        <f>IF(D11="","-",+C28+1)</f>
        <v>2018</v>
      </c>
      <c r="D29" s="479">
        <v>43654.291486326983</v>
      </c>
      <c r="E29" s="480">
        <v>1247.4000000000001</v>
      </c>
      <c r="F29" s="479">
        <v>42406.891486326982</v>
      </c>
      <c r="G29" s="480">
        <v>6400.6980544313355</v>
      </c>
      <c r="H29" s="481">
        <v>6400.6980544313355</v>
      </c>
      <c r="I29" s="475">
        <f t="shared" si="0"/>
        <v>0</v>
      </c>
      <c r="J29" s="475"/>
      <c r="K29" s="476">
        <f t="shared" si="10"/>
        <v>6400.6980544313355</v>
      </c>
      <c r="L29" s="550">
        <f t="shared" si="7"/>
        <v>0</v>
      </c>
      <c r="M29" s="476">
        <f t="shared" si="11"/>
        <v>6400.6980544313355</v>
      </c>
      <c r="N29" s="478">
        <f t="shared" si="8"/>
        <v>0</v>
      </c>
      <c r="O29" s="478">
        <f t="shared" si="9"/>
        <v>0</v>
      </c>
      <c r="P29" s="242"/>
    </row>
    <row r="30" spans="2:16">
      <c r="B30" s="160" t="str">
        <f t="shared" si="4"/>
        <v/>
      </c>
      <c r="C30" s="472">
        <f>IF(D11="","-",+C29+1)</f>
        <v>2019</v>
      </c>
      <c r="D30" s="479">
        <v>42406.891486326982</v>
      </c>
      <c r="E30" s="480">
        <v>1403.325</v>
      </c>
      <c r="F30" s="479">
        <v>41003.566486326985</v>
      </c>
      <c r="G30" s="480">
        <v>6059.9903761062678</v>
      </c>
      <c r="H30" s="481">
        <v>6059.9903761062678</v>
      </c>
      <c r="I30" s="475">
        <f t="shared" si="0"/>
        <v>0</v>
      </c>
      <c r="J30" s="475"/>
      <c r="K30" s="476">
        <f t="shared" si="10"/>
        <v>6059.9903761062678</v>
      </c>
      <c r="L30" s="550">
        <f t="shared" ref="L30" si="12">IF(K30&lt;&gt;0,+G30-K30,0)</f>
        <v>0</v>
      </c>
      <c r="M30" s="476">
        <f t="shared" si="11"/>
        <v>6059.9903761062678</v>
      </c>
      <c r="N30" s="478">
        <f t="shared" ref="N30" si="13">IF(M30&lt;&gt;0,+H30-M30,0)</f>
        <v>0</v>
      </c>
      <c r="O30" s="478">
        <f t="shared" ref="O30" si="14">+N30-L30</f>
        <v>0</v>
      </c>
      <c r="P30" s="242"/>
    </row>
    <row r="31" spans="2:16">
      <c r="B31" s="160" t="str">
        <f t="shared" si="4"/>
        <v>IU</v>
      </c>
      <c r="C31" s="472">
        <f>IF(D11="","-",+C30+1)</f>
        <v>2020</v>
      </c>
      <c r="D31" s="479">
        <v>41159.491486326981</v>
      </c>
      <c r="E31" s="480">
        <v>1336.5</v>
      </c>
      <c r="F31" s="479">
        <v>39822.991486326981</v>
      </c>
      <c r="G31" s="480">
        <v>5709.7475035377865</v>
      </c>
      <c r="H31" s="481">
        <v>5709.7475035377865</v>
      </c>
      <c r="I31" s="475">
        <f t="shared" si="0"/>
        <v>0</v>
      </c>
      <c r="J31" s="475"/>
      <c r="K31" s="476">
        <f t="shared" si="10"/>
        <v>5709.7475035377865</v>
      </c>
      <c r="L31" s="550">
        <f t="shared" ref="L31" si="15">IF(K31&lt;&gt;0,+G31-K31,0)</f>
        <v>0</v>
      </c>
      <c r="M31" s="476">
        <f t="shared" si="11"/>
        <v>5709.7475035377865</v>
      </c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4"/>
        <v>IU</v>
      </c>
      <c r="C32" s="472">
        <f>IF(D11="","-",+C31+1)</f>
        <v>2021</v>
      </c>
      <c r="D32" s="479">
        <v>39667.06648632697</v>
      </c>
      <c r="E32" s="480">
        <v>1305.4186046511627</v>
      </c>
      <c r="F32" s="479">
        <v>38361.64788167581</v>
      </c>
      <c r="G32" s="480">
        <v>5441.6348487910545</v>
      </c>
      <c r="H32" s="481">
        <v>5441.6348487910545</v>
      </c>
      <c r="I32" s="475">
        <f t="shared" si="0"/>
        <v>0</v>
      </c>
      <c r="J32" s="475"/>
      <c r="K32" s="476">
        <f t="shared" si="10"/>
        <v>5441.6348487910545</v>
      </c>
      <c r="L32" s="550">
        <f t="shared" ref="L32" si="16">IF(K32&lt;&gt;0,+G32-K32,0)</f>
        <v>0</v>
      </c>
      <c r="M32" s="476">
        <f t="shared" si="11"/>
        <v>5441.6348487910545</v>
      </c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4"/>
        <v/>
      </c>
      <c r="C33" s="472">
        <f>IF(D11="","-",+C32+1)</f>
        <v>2022</v>
      </c>
      <c r="D33" s="485">
        <f>IF(F32+SUM(E$17:E32)=D$10,F32,D$10-SUM(E$17:E32))</f>
        <v>38361.64788167581</v>
      </c>
      <c r="E33" s="484">
        <f>IF(+I14&lt;F32,I14,D33)</f>
        <v>1336.5</v>
      </c>
      <c r="F33" s="485">
        <f t="shared" ref="F33:F48" si="17">+D33-E33</f>
        <v>37025.14788167581</v>
      </c>
      <c r="G33" s="486">
        <f t="shared" ref="G33:G72" si="18">+I$12*F33+E33</f>
        <v>5328.2273193212004</v>
      </c>
      <c r="H33" s="455">
        <f t="shared" ref="H33:H72" si="19">+I$13*F33+E33</f>
        <v>5328.2273193212004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4"/>
        <v/>
      </c>
      <c r="C34" s="472">
        <f>IF(D11="","-",+C33+1)</f>
        <v>2023</v>
      </c>
      <c r="D34" s="485">
        <f>IF(F33+SUM(E$17:E33)=D$10,F33,D$10-SUM(E$17:E33))</f>
        <v>37025.14788167581</v>
      </c>
      <c r="E34" s="484">
        <f>IF(+I14&lt;F33,I14,D34)</f>
        <v>1336.5</v>
      </c>
      <c r="F34" s="485">
        <f t="shared" si="17"/>
        <v>35688.64788167581</v>
      </c>
      <c r="G34" s="486">
        <f t="shared" si="18"/>
        <v>5184.1375892998076</v>
      </c>
      <c r="H34" s="455">
        <f t="shared" si="19"/>
        <v>5184.1375892998076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4"/>
        <v/>
      </c>
      <c r="C35" s="472">
        <f>IF(D11="","-",+C34+1)</f>
        <v>2024</v>
      </c>
      <c r="D35" s="485">
        <f>IF(F34+SUM(E$17:E34)=D$10,F34,D$10-SUM(E$17:E34))</f>
        <v>35688.64788167581</v>
      </c>
      <c r="E35" s="484">
        <f>IF(+I14&lt;F34,I14,D35)</f>
        <v>1336.5</v>
      </c>
      <c r="F35" s="485">
        <f t="shared" si="17"/>
        <v>34352.14788167581</v>
      </c>
      <c r="G35" s="486">
        <f t="shared" si="18"/>
        <v>5040.0478592784157</v>
      </c>
      <c r="H35" s="455">
        <f t="shared" si="19"/>
        <v>5040.0478592784157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4"/>
        <v/>
      </c>
      <c r="C36" s="472">
        <f>IF(D11="","-",+C35+1)</f>
        <v>2025</v>
      </c>
      <c r="D36" s="485">
        <f>IF(F35+SUM(E$17:E35)=D$10,F35,D$10-SUM(E$17:E35))</f>
        <v>34352.14788167581</v>
      </c>
      <c r="E36" s="484">
        <f>IF(+I14&lt;F35,I14,D36)</f>
        <v>1336.5</v>
      </c>
      <c r="F36" s="485">
        <f t="shared" si="17"/>
        <v>33015.64788167581</v>
      </c>
      <c r="G36" s="486">
        <f t="shared" si="18"/>
        <v>4895.9581292570238</v>
      </c>
      <c r="H36" s="455">
        <f t="shared" si="19"/>
        <v>4895.9581292570238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4"/>
        <v/>
      </c>
      <c r="C37" s="472">
        <f>IF(D11="","-",+C36+1)</f>
        <v>2026</v>
      </c>
      <c r="D37" s="485">
        <f>IF(F36+SUM(E$17:E36)=D$10,F36,D$10-SUM(E$17:E36))</f>
        <v>33015.64788167581</v>
      </c>
      <c r="E37" s="484">
        <f>IF(+I14&lt;F36,I14,D37)</f>
        <v>1336.5</v>
      </c>
      <c r="F37" s="485">
        <f t="shared" si="17"/>
        <v>31679.14788167581</v>
      </c>
      <c r="G37" s="486">
        <f t="shared" si="18"/>
        <v>4751.8683992356309</v>
      </c>
      <c r="H37" s="455">
        <f t="shared" si="19"/>
        <v>4751.8683992356309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565" t="str">
        <f t="shared" si="4"/>
        <v/>
      </c>
      <c r="C38" s="472">
        <f>IF(D11="","-",+C37+1)</f>
        <v>2027</v>
      </c>
      <c r="D38" s="485">
        <f>IF(F37+SUM(E$17:E37)=D$10,F37,D$10-SUM(E$17:E37))</f>
        <v>31679.14788167581</v>
      </c>
      <c r="E38" s="484">
        <f>IF(+I14&lt;F37,I14,D38)</f>
        <v>1336.5</v>
      </c>
      <c r="F38" s="485">
        <f t="shared" si="17"/>
        <v>30342.64788167581</v>
      </c>
      <c r="G38" s="486">
        <f t="shared" si="18"/>
        <v>4607.7786692142399</v>
      </c>
      <c r="H38" s="455">
        <f t="shared" si="19"/>
        <v>4607.7786692142399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4"/>
        <v/>
      </c>
      <c r="C39" s="472">
        <f>IF(D11="","-",+C38+1)</f>
        <v>2028</v>
      </c>
      <c r="D39" s="485">
        <f>IF(F38+SUM(E$17:E38)=D$10,F38,D$10-SUM(E$17:E38))</f>
        <v>30342.64788167581</v>
      </c>
      <c r="E39" s="484">
        <f>IF(+I14&lt;F38,I14,D39)</f>
        <v>1336.5</v>
      </c>
      <c r="F39" s="485">
        <f t="shared" si="17"/>
        <v>29006.14788167581</v>
      </c>
      <c r="G39" s="486">
        <f t="shared" si="18"/>
        <v>4463.6889391928471</v>
      </c>
      <c r="H39" s="455">
        <f t="shared" si="19"/>
        <v>4463.6889391928471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4"/>
        <v/>
      </c>
      <c r="C40" s="472">
        <f>IF(D11="","-",+C39+1)</f>
        <v>2029</v>
      </c>
      <c r="D40" s="485">
        <f>IF(F39+SUM(E$17:E39)=D$10,F39,D$10-SUM(E$17:E39))</f>
        <v>29006.14788167581</v>
      </c>
      <c r="E40" s="484">
        <f>IF(+I14&lt;F39,I14,D40)</f>
        <v>1336.5</v>
      </c>
      <c r="F40" s="485">
        <f t="shared" si="17"/>
        <v>27669.64788167581</v>
      </c>
      <c r="G40" s="486">
        <f t="shared" si="18"/>
        <v>4319.5992091714552</v>
      </c>
      <c r="H40" s="455">
        <f t="shared" si="19"/>
        <v>4319.5992091714552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4"/>
        <v/>
      </c>
      <c r="C41" s="472">
        <f>IF(D11="","-",+C40+1)</f>
        <v>2030</v>
      </c>
      <c r="D41" s="485">
        <f>IF(F40+SUM(E$17:E40)=D$10,F40,D$10-SUM(E$17:E40))</f>
        <v>27669.64788167581</v>
      </c>
      <c r="E41" s="484">
        <f>IF(+I14&lt;F40,I14,D41)</f>
        <v>1336.5</v>
      </c>
      <c r="F41" s="485">
        <f t="shared" si="17"/>
        <v>26333.14788167581</v>
      </c>
      <c r="G41" s="486">
        <f t="shared" si="18"/>
        <v>4175.5094791500633</v>
      </c>
      <c r="H41" s="455">
        <f t="shared" si="19"/>
        <v>4175.5094791500633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4"/>
        <v/>
      </c>
      <c r="C42" s="472">
        <f>IF(D11="","-",+C41+1)</f>
        <v>2031</v>
      </c>
      <c r="D42" s="485">
        <f>IF(F41+SUM(E$17:E41)=D$10,F41,D$10-SUM(E$17:E41))</f>
        <v>26333.14788167581</v>
      </c>
      <c r="E42" s="484">
        <f>IF(+I14&lt;F41,I14,D42)</f>
        <v>1336.5</v>
      </c>
      <c r="F42" s="485">
        <f t="shared" si="17"/>
        <v>24996.64788167581</v>
      </c>
      <c r="G42" s="486">
        <f t="shared" si="18"/>
        <v>4031.4197491286714</v>
      </c>
      <c r="H42" s="455">
        <f t="shared" si="19"/>
        <v>4031.4197491286714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4"/>
        <v/>
      </c>
      <c r="C43" s="472">
        <f>IF(D11="","-",+C42+1)</f>
        <v>2032</v>
      </c>
      <c r="D43" s="485">
        <f>IF(F42+SUM(E$17:E42)=D$10,F42,D$10-SUM(E$17:E42))</f>
        <v>24996.64788167581</v>
      </c>
      <c r="E43" s="484">
        <f>IF(+I14&lt;F42,I14,D43)</f>
        <v>1336.5</v>
      </c>
      <c r="F43" s="485">
        <f t="shared" si="17"/>
        <v>23660.14788167581</v>
      </c>
      <c r="G43" s="486">
        <f t="shared" si="18"/>
        <v>3887.3300191072794</v>
      </c>
      <c r="H43" s="455">
        <f t="shared" si="19"/>
        <v>3887.3300191072794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4"/>
        <v/>
      </c>
      <c r="C44" s="472">
        <f>IF(D11="","-",+C43+1)</f>
        <v>2033</v>
      </c>
      <c r="D44" s="485">
        <f>IF(F43+SUM(E$17:E43)=D$10,F43,D$10-SUM(E$17:E43))</f>
        <v>23660.14788167581</v>
      </c>
      <c r="E44" s="484">
        <f>IF(+I14&lt;F43,I14,D44)</f>
        <v>1336.5</v>
      </c>
      <c r="F44" s="485">
        <f t="shared" si="17"/>
        <v>22323.64788167581</v>
      </c>
      <c r="G44" s="486">
        <f t="shared" si="18"/>
        <v>3743.2402890858871</v>
      </c>
      <c r="H44" s="455">
        <f t="shared" si="19"/>
        <v>3743.2402890858871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4"/>
        <v/>
      </c>
      <c r="C45" s="472">
        <f>IF(D11="","-",+C44+1)</f>
        <v>2034</v>
      </c>
      <c r="D45" s="485">
        <f>IF(F44+SUM(E$17:E44)=D$10,F44,D$10-SUM(E$17:E44))</f>
        <v>22323.64788167581</v>
      </c>
      <c r="E45" s="484">
        <f>IF(+I14&lt;F44,I14,D45)</f>
        <v>1336.5</v>
      </c>
      <c r="F45" s="485">
        <f t="shared" si="17"/>
        <v>20987.14788167581</v>
      </c>
      <c r="G45" s="486">
        <f t="shared" si="18"/>
        <v>3599.1505590644952</v>
      </c>
      <c r="H45" s="455">
        <f t="shared" si="19"/>
        <v>3599.1505590644952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4"/>
        <v/>
      </c>
      <c r="C46" s="472">
        <f>IF(D11="","-",+C45+1)</f>
        <v>2035</v>
      </c>
      <c r="D46" s="485">
        <f>IF(F45+SUM(E$17:E45)=D$10,F45,D$10-SUM(E$17:E45))</f>
        <v>20987.14788167581</v>
      </c>
      <c r="E46" s="484">
        <f>IF(+I14&lt;F45,I14,D46)</f>
        <v>1336.5</v>
      </c>
      <c r="F46" s="485">
        <f t="shared" si="17"/>
        <v>19650.64788167581</v>
      </c>
      <c r="G46" s="486">
        <f t="shared" si="18"/>
        <v>3455.0608290431032</v>
      </c>
      <c r="H46" s="455">
        <f t="shared" si="19"/>
        <v>3455.0608290431032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4"/>
        <v/>
      </c>
      <c r="C47" s="472">
        <f>IF(D11="","-",+C46+1)</f>
        <v>2036</v>
      </c>
      <c r="D47" s="485">
        <f>IF(F46+SUM(E$17:E46)=D$10,F46,D$10-SUM(E$17:E46))</f>
        <v>19650.64788167581</v>
      </c>
      <c r="E47" s="484">
        <f>IF(+I14&lt;F46,I14,D47)</f>
        <v>1336.5</v>
      </c>
      <c r="F47" s="485">
        <f t="shared" si="17"/>
        <v>18314.14788167581</v>
      </c>
      <c r="G47" s="486">
        <f t="shared" si="18"/>
        <v>3310.9710990217109</v>
      </c>
      <c r="H47" s="455">
        <f t="shared" si="19"/>
        <v>3310.9710990217109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4"/>
        <v/>
      </c>
      <c r="C48" s="472">
        <f>IF(D11="","-",+C47+1)</f>
        <v>2037</v>
      </c>
      <c r="D48" s="485">
        <f>IF(F47+SUM(E$17:E47)=D$10,F47,D$10-SUM(E$17:E47))</f>
        <v>18314.14788167581</v>
      </c>
      <c r="E48" s="484">
        <f>IF(+I14&lt;F47,I14,D48)</f>
        <v>1336.5</v>
      </c>
      <c r="F48" s="485">
        <f t="shared" si="17"/>
        <v>16977.64788167581</v>
      </c>
      <c r="G48" s="486">
        <f t="shared" si="18"/>
        <v>3166.881369000319</v>
      </c>
      <c r="H48" s="455">
        <f t="shared" si="19"/>
        <v>3166.881369000319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4"/>
        <v/>
      </c>
      <c r="C49" s="472">
        <f>IF(D11="","-",+C48+1)</f>
        <v>2038</v>
      </c>
      <c r="D49" s="485">
        <f>IF(F48+SUM(E$17:E48)=D$10,F48,D$10-SUM(E$17:E48))</f>
        <v>16977.64788167581</v>
      </c>
      <c r="E49" s="484">
        <f>IF(+I14&lt;F48,I14,D49)</f>
        <v>1336.5</v>
      </c>
      <c r="F49" s="485">
        <f t="shared" ref="F49:F72" si="20">+D49-E49</f>
        <v>15641.14788167581</v>
      </c>
      <c r="G49" s="486">
        <f t="shared" si="18"/>
        <v>3022.791638978927</v>
      </c>
      <c r="H49" s="455">
        <f t="shared" si="19"/>
        <v>3022.791638978927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4"/>
        <v/>
      </c>
      <c r="C50" s="472">
        <f>IF(D11="","-",+C49+1)</f>
        <v>2039</v>
      </c>
      <c r="D50" s="485">
        <f>IF(F49+SUM(E$17:E49)=D$10,F49,D$10-SUM(E$17:E49))</f>
        <v>15641.14788167581</v>
      </c>
      <c r="E50" s="484">
        <f>IF(+I14&lt;F49,I14,D50)</f>
        <v>1336.5</v>
      </c>
      <c r="F50" s="485">
        <f t="shared" si="20"/>
        <v>14304.64788167581</v>
      </c>
      <c r="G50" s="486">
        <f t="shared" si="18"/>
        <v>2878.7019089575351</v>
      </c>
      <c r="H50" s="455">
        <f t="shared" si="19"/>
        <v>2878.7019089575351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4"/>
        <v/>
      </c>
      <c r="C51" s="472">
        <f>IF(D11="","-",+C50+1)</f>
        <v>2040</v>
      </c>
      <c r="D51" s="485">
        <f>IF(F50+SUM(E$17:E50)=D$10,F50,D$10-SUM(E$17:E50))</f>
        <v>14304.64788167581</v>
      </c>
      <c r="E51" s="484">
        <f>IF(+I14&lt;F50,I14,D51)</f>
        <v>1336.5</v>
      </c>
      <c r="F51" s="485">
        <f t="shared" si="20"/>
        <v>12968.14788167581</v>
      </c>
      <c r="G51" s="486">
        <f t="shared" si="18"/>
        <v>2734.6121789361428</v>
      </c>
      <c r="H51" s="455">
        <f t="shared" si="19"/>
        <v>2734.6121789361428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4"/>
        <v/>
      </c>
      <c r="C52" s="472">
        <f>IF(D11="","-",+C51+1)</f>
        <v>2041</v>
      </c>
      <c r="D52" s="485">
        <f>IF(F51+SUM(E$17:E51)=D$10,F51,D$10-SUM(E$17:E51))</f>
        <v>12968.14788167581</v>
      </c>
      <c r="E52" s="484">
        <f>IF(+I14&lt;F51,I14,D52)</f>
        <v>1336.5</v>
      </c>
      <c r="F52" s="485">
        <f t="shared" si="20"/>
        <v>11631.64788167581</v>
      </c>
      <c r="G52" s="486">
        <f t="shared" si="18"/>
        <v>2590.5224489147504</v>
      </c>
      <c r="H52" s="455">
        <f t="shared" si="19"/>
        <v>2590.5224489147504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4"/>
        <v/>
      </c>
      <c r="C53" s="472">
        <f>IF(D11="","-",+C52+1)</f>
        <v>2042</v>
      </c>
      <c r="D53" s="485">
        <f>IF(F52+SUM(E$17:E52)=D$10,F52,D$10-SUM(E$17:E52))</f>
        <v>11631.64788167581</v>
      </c>
      <c r="E53" s="484">
        <f>IF(+I14&lt;F52,I14,D53)</f>
        <v>1336.5</v>
      </c>
      <c r="F53" s="485">
        <f t="shared" si="20"/>
        <v>10295.14788167581</v>
      </c>
      <c r="G53" s="486">
        <f t="shared" si="18"/>
        <v>2446.4327188933585</v>
      </c>
      <c r="H53" s="455">
        <f t="shared" si="19"/>
        <v>2446.4327188933585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4"/>
        <v/>
      </c>
      <c r="C54" s="472">
        <f>IF(D11="","-",+C53+1)</f>
        <v>2043</v>
      </c>
      <c r="D54" s="485">
        <f>IF(F53+SUM(E$17:E53)=D$10,F53,D$10-SUM(E$17:E53))</f>
        <v>10295.14788167581</v>
      </c>
      <c r="E54" s="484">
        <f>IF(+I14&lt;F53,I14,D54)</f>
        <v>1336.5</v>
      </c>
      <c r="F54" s="485">
        <f t="shared" si="20"/>
        <v>8958.6478816758099</v>
      </c>
      <c r="G54" s="486">
        <f t="shared" si="18"/>
        <v>2302.3429888719666</v>
      </c>
      <c r="H54" s="455">
        <f t="shared" si="19"/>
        <v>2302.3429888719666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4"/>
        <v/>
      </c>
      <c r="C55" s="472">
        <f>IF(D11="","-",+C54+1)</f>
        <v>2044</v>
      </c>
      <c r="D55" s="485">
        <f>IF(F54+SUM(E$17:E54)=D$10,F54,D$10-SUM(E$17:E54))</f>
        <v>8958.6478816758099</v>
      </c>
      <c r="E55" s="484">
        <f>IF(+I14&lt;F54,I14,D55)</f>
        <v>1336.5</v>
      </c>
      <c r="F55" s="485">
        <f t="shared" si="20"/>
        <v>7622.1478816758099</v>
      </c>
      <c r="G55" s="486">
        <f t="shared" si="18"/>
        <v>2158.2532588505746</v>
      </c>
      <c r="H55" s="455">
        <f t="shared" si="19"/>
        <v>2158.2532588505746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4"/>
        <v/>
      </c>
      <c r="C56" s="472">
        <f>IF(D11="","-",+C55+1)</f>
        <v>2045</v>
      </c>
      <c r="D56" s="485">
        <f>IF(F55+SUM(E$17:E55)=D$10,F55,D$10-SUM(E$17:E55))</f>
        <v>7622.1478816758099</v>
      </c>
      <c r="E56" s="484">
        <f>IF(+I14&lt;F55,I14,D56)</f>
        <v>1336.5</v>
      </c>
      <c r="F56" s="485">
        <f t="shared" si="20"/>
        <v>6285.6478816758099</v>
      </c>
      <c r="G56" s="486">
        <f t="shared" si="18"/>
        <v>2014.1635288291825</v>
      </c>
      <c r="H56" s="455">
        <f t="shared" si="19"/>
        <v>2014.1635288291825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4"/>
        <v/>
      </c>
      <c r="C57" s="472">
        <f>IF(D11="","-",+C56+1)</f>
        <v>2046</v>
      </c>
      <c r="D57" s="485">
        <f>IF(F56+SUM(E$17:E56)=D$10,F56,D$10-SUM(E$17:E56))</f>
        <v>6285.6478816758099</v>
      </c>
      <c r="E57" s="484">
        <f>IF(+I14&lt;F56,I14,D57)</f>
        <v>1336.5</v>
      </c>
      <c r="F57" s="485">
        <f t="shared" si="20"/>
        <v>4949.1478816758099</v>
      </c>
      <c r="G57" s="486">
        <f t="shared" si="18"/>
        <v>1870.0737988077904</v>
      </c>
      <c r="H57" s="455">
        <f t="shared" si="19"/>
        <v>1870.0737988077904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4"/>
        <v/>
      </c>
      <c r="C58" s="472">
        <f>IF(D11="","-",+C57+1)</f>
        <v>2047</v>
      </c>
      <c r="D58" s="485">
        <f>IF(F57+SUM(E$17:E57)=D$10,F57,D$10-SUM(E$17:E57))</f>
        <v>4949.1478816758099</v>
      </c>
      <c r="E58" s="484">
        <f>IF(+I14&lt;F57,I14,D58)</f>
        <v>1336.5</v>
      </c>
      <c r="F58" s="485">
        <f t="shared" si="20"/>
        <v>3612.6478816758099</v>
      </c>
      <c r="G58" s="486">
        <f t="shared" si="18"/>
        <v>1725.9840687863984</v>
      </c>
      <c r="H58" s="455">
        <f t="shared" si="19"/>
        <v>1725.9840687863984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4"/>
        <v/>
      </c>
      <c r="C59" s="472">
        <f>IF(D11="","-",+C58+1)</f>
        <v>2048</v>
      </c>
      <c r="D59" s="485">
        <f>IF(F58+SUM(E$17:E58)=D$10,F58,D$10-SUM(E$17:E58))</f>
        <v>3612.6478816758099</v>
      </c>
      <c r="E59" s="484">
        <f>IF(+I14&lt;F58,I14,D59)</f>
        <v>1336.5</v>
      </c>
      <c r="F59" s="485">
        <f t="shared" si="20"/>
        <v>2276.1478816758099</v>
      </c>
      <c r="G59" s="486">
        <f t="shared" si="18"/>
        <v>1581.8943387650063</v>
      </c>
      <c r="H59" s="455">
        <f t="shared" si="19"/>
        <v>1581.8943387650063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4"/>
        <v/>
      </c>
      <c r="C60" s="472">
        <f>IF(D11="","-",+C59+1)</f>
        <v>2049</v>
      </c>
      <c r="D60" s="485">
        <f>IF(F59+SUM(E$17:E59)=D$10,F59,D$10-SUM(E$17:E59))</f>
        <v>2276.1478816758099</v>
      </c>
      <c r="E60" s="484">
        <f>IF(+I14&lt;F59,I14,D60)</f>
        <v>1336.5</v>
      </c>
      <c r="F60" s="485">
        <f t="shared" si="20"/>
        <v>939.64788167580991</v>
      </c>
      <c r="G60" s="486">
        <f t="shared" si="18"/>
        <v>1437.8046087436142</v>
      </c>
      <c r="H60" s="455">
        <f t="shared" si="19"/>
        <v>1437.8046087436142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4"/>
        <v/>
      </c>
      <c r="C61" s="472">
        <f>IF(D11="","-",+C60+1)</f>
        <v>2050</v>
      </c>
      <c r="D61" s="485">
        <f>IF(F60+SUM(E$17:E60)=D$10,F60,D$10-SUM(E$17:E60))</f>
        <v>939.64788167580991</v>
      </c>
      <c r="E61" s="484">
        <f>IF(+I14&lt;F60,I14,D61)</f>
        <v>939.64788167580991</v>
      </c>
      <c r="F61" s="485">
        <f t="shared" si="20"/>
        <v>0</v>
      </c>
      <c r="G61" s="488">
        <f t="shared" si="18"/>
        <v>939.64788167580991</v>
      </c>
      <c r="H61" s="455">
        <f t="shared" si="19"/>
        <v>939.64788167580991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4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565" t="str">
        <f t="shared" si="4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4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>
      <c r="B65" s="160" t="str">
        <f t="shared" si="4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>
      <c r="B66" s="160" t="str">
        <f t="shared" si="4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>
      <c r="B67" s="160" t="str">
        <f t="shared" si="4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>
      <c r="B68" s="160" t="str">
        <f t="shared" si="4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>
      <c r="B69" s="160" t="str">
        <f t="shared" si="4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>
      <c r="B70" s="160" t="str">
        <f t="shared" si="4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>
      <c r="B71" s="160" t="str">
        <f t="shared" si="4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.5" thickBot="1">
      <c r="B72" s="160" t="str">
        <f t="shared" si="4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>
      <c r="C73" s="346" t="s">
        <v>77</v>
      </c>
      <c r="D73" s="347"/>
      <c r="E73" s="347">
        <f>SUM(E17:E72)</f>
        <v>56133.000000000007</v>
      </c>
      <c r="F73" s="347"/>
      <c r="G73" s="347">
        <f>SUM(G17:G72)</f>
        <v>181249.84585433872</v>
      </c>
      <c r="H73" s="347">
        <f>SUM(H17:H72)</f>
        <v>181249.84585433872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8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5709.7475035377865</v>
      </c>
      <c r="N87" s="508">
        <f>IF(J92&lt;D11,0,VLOOKUP(J92,C17:O72,11))</f>
        <v>5709.7475035377865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6003.4206157380368</v>
      </c>
      <c r="N88" s="512">
        <f>IF(J92&lt;D11,0,VLOOKUP(J92,C99:P154,7))</f>
        <v>6003.4206157380368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Weleetka &amp; Okmulgee Wavetrap replacement 81-805*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293.67311220025022</v>
      </c>
      <c r="N89" s="517">
        <f>+N88-N87</f>
        <v>293.67311220025022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TP2005046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56133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1337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v>0</v>
      </c>
      <c r="E99" s="480">
        <v>0</v>
      </c>
      <c r="F99" s="479">
        <v>56133</v>
      </c>
      <c r="G99" s="537">
        <v>28067</v>
      </c>
      <c r="H99" s="538">
        <v>0</v>
      </c>
      <c r="I99" s="539">
        <v>0</v>
      </c>
      <c r="J99" s="478">
        <f t="shared" ref="J99:J130" si="25">+I99-H99</f>
        <v>0</v>
      </c>
      <c r="K99" s="478"/>
      <c r="L99" s="554">
        <v>0</v>
      </c>
      <c r="M99" s="477">
        <f t="shared" ref="M99:M130" si="26">IF(L99&lt;&gt;0,+H99-L99,0)</f>
        <v>0</v>
      </c>
      <c r="N99" s="554">
        <v>0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/>
      </c>
      <c r="C100" s="472">
        <f>IF(D93="","-",+C99+1)</f>
        <v>2007</v>
      </c>
      <c r="D100" s="473">
        <v>56133</v>
      </c>
      <c r="E100" s="480">
        <v>1059</v>
      </c>
      <c r="F100" s="479">
        <v>55074</v>
      </c>
      <c r="G100" s="479">
        <v>55603</v>
      </c>
      <c r="H100" s="480">
        <v>0</v>
      </c>
      <c r="I100" s="481">
        <v>0</v>
      </c>
      <c r="J100" s="478">
        <f t="shared" si="25"/>
        <v>0</v>
      </c>
      <c r="K100" s="478"/>
      <c r="L100" s="476">
        <v>0</v>
      </c>
      <c r="M100" s="478">
        <f t="shared" si="26"/>
        <v>0</v>
      </c>
      <c r="N100" s="476">
        <v>0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29">IF(D101=F100,"","IU")</f>
        <v/>
      </c>
      <c r="C101" s="472">
        <f>IF(D93="","-",+C100+1)</f>
        <v>2008</v>
      </c>
      <c r="D101" s="473">
        <v>55074</v>
      </c>
      <c r="E101" s="480">
        <v>1059</v>
      </c>
      <c r="F101" s="479">
        <v>54015</v>
      </c>
      <c r="G101" s="479">
        <v>54544</v>
      </c>
      <c r="H101" s="480">
        <v>9723</v>
      </c>
      <c r="I101" s="481">
        <v>9723</v>
      </c>
      <c r="J101" s="478">
        <f t="shared" si="25"/>
        <v>0</v>
      </c>
      <c r="K101" s="478"/>
      <c r="L101" s="476">
        <v>9723</v>
      </c>
      <c r="M101" s="478">
        <f t="shared" si="26"/>
        <v>0</v>
      </c>
      <c r="N101" s="476">
        <v>9723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29"/>
        <v/>
      </c>
      <c r="C102" s="472">
        <f>IF(D93="","-",+C101+1)</f>
        <v>2009</v>
      </c>
      <c r="D102" s="473">
        <v>54015</v>
      </c>
      <c r="E102" s="480">
        <v>1002</v>
      </c>
      <c r="F102" s="479">
        <v>53013</v>
      </c>
      <c r="G102" s="479">
        <v>53514</v>
      </c>
      <c r="H102" s="480">
        <v>8826.1899911613018</v>
      </c>
      <c r="I102" s="481">
        <v>8826.1899911613018</v>
      </c>
      <c r="J102" s="478">
        <f t="shared" si="25"/>
        <v>0</v>
      </c>
      <c r="K102" s="478"/>
      <c r="L102" s="540">
        <f t="shared" ref="L102:L107" si="30">H102</f>
        <v>8826.1899911613018</v>
      </c>
      <c r="M102" s="541">
        <f t="shared" si="26"/>
        <v>0</v>
      </c>
      <c r="N102" s="540">
        <f t="shared" ref="N102:N107" si="31">I102</f>
        <v>8826.1899911613018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29"/>
        <v/>
      </c>
      <c r="C103" s="472">
        <f>IF(D93="","-",+C102+1)</f>
        <v>2010</v>
      </c>
      <c r="D103" s="473">
        <v>53013</v>
      </c>
      <c r="E103" s="480">
        <v>1101</v>
      </c>
      <c r="F103" s="479">
        <v>51912</v>
      </c>
      <c r="G103" s="479">
        <v>52462.5</v>
      </c>
      <c r="H103" s="480">
        <v>9537.7685710444202</v>
      </c>
      <c r="I103" s="481">
        <v>9537.7685710444202</v>
      </c>
      <c r="J103" s="478">
        <f t="shared" si="25"/>
        <v>0</v>
      </c>
      <c r="K103" s="478"/>
      <c r="L103" s="540">
        <f t="shared" si="30"/>
        <v>9537.7685710444202</v>
      </c>
      <c r="M103" s="541">
        <f t="shared" si="26"/>
        <v>0</v>
      </c>
      <c r="N103" s="540">
        <f t="shared" si="31"/>
        <v>9537.7685710444202</v>
      </c>
      <c r="O103" s="478">
        <f t="shared" si="27"/>
        <v>0</v>
      </c>
      <c r="P103" s="478">
        <f t="shared" si="28"/>
        <v>0</v>
      </c>
    </row>
    <row r="104" spans="1:16">
      <c r="B104" s="160" t="str">
        <f t="shared" si="29"/>
        <v/>
      </c>
      <c r="C104" s="472">
        <f>IF(D93="","-",+C103+1)</f>
        <v>2011</v>
      </c>
      <c r="D104" s="473">
        <v>51912</v>
      </c>
      <c r="E104" s="480">
        <v>1079</v>
      </c>
      <c r="F104" s="479">
        <v>50833</v>
      </c>
      <c r="G104" s="479">
        <v>51372.5</v>
      </c>
      <c r="H104" s="480">
        <v>8261.5658402233203</v>
      </c>
      <c r="I104" s="481">
        <v>8261.5658402233203</v>
      </c>
      <c r="J104" s="478">
        <f t="shared" si="25"/>
        <v>0</v>
      </c>
      <c r="K104" s="478"/>
      <c r="L104" s="540">
        <f t="shared" si="30"/>
        <v>8261.5658402233203</v>
      </c>
      <c r="M104" s="541">
        <f t="shared" si="26"/>
        <v>0</v>
      </c>
      <c r="N104" s="540">
        <f t="shared" si="31"/>
        <v>8261.5658402233203</v>
      </c>
      <c r="O104" s="478">
        <f t="shared" si="27"/>
        <v>0</v>
      </c>
      <c r="P104" s="478">
        <f t="shared" si="28"/>
        <v>0</v>
      </c>
    </row>
    <row r="105" spans="1:16">
      <c r="B105" s="160" t="str">
        <f t="shared" si="29"/>
        <v/>
      </c>
      <c r="C105" s="472">
        <f>IF(D93="","-",+C104+1)</f>
        <v>2012</v>
      </c>
      <c r="D105" s="473">
        <v>50833</v>
      </c>
      <c r="E105" s="480">
        <v>1079</v>
      </c>
      <c r="F105" s="479">
        <v>49754</v>
      </c>
      <c r="G105" s="479">
        <v>50293.5</v>
      </c>
      <c r="H105" s="480">
        <v>8313.995673781943</v>
      </c>
      <c r="I105" s="481">
        <v>8313.995673781943</v>
      </c>
      <c r="J105" s="478">
        <v>0</v>
      </c>
      <c r="K105" s="478"/>
      <c r="L105" s="540">
        <f t="shared" si="30"/>
        <v>8313.995673781943</v>
      </c>
      <c r="M105" s="541">
        <f t="shared" ref="M105:M110" si="32">IF(L105&lt;&gt;0,+H105-L105,0)</f>
        <v>0</v>
      </c>
      <c r="N105" s="540">
        <f t="shared" si="31"/>
        <v>8313.995673781943</v>
      </c>
      <c r="O105" s="478">
        <f t="shared" ref="O105:O110" si="33">IF(N105&lt;&gt;0,+I105-N105,0)</f>
        <v>0</v>
      </c>
      <c r="P105" s="478">
        <f t="shared" ref="P105:P110" si="34">+O105-M105</f>
        <v>0</v>
      </c>
    </row>
    <row r="106" spans="1:16">
      <c r="B106" s="160" t="str">
        <f t="shared" si="29"/>
        <v/>
      </c>
      <c r="C106" s="472">
        <f>IF(D93="","-",+C105+1)</f>
        <v>2013</v>
      </c>
      <c r="D106" s="473">
        <v>49754</v>
      </c>
      <c r="E106" s="480">
        <v>1079</v>
      </c>
      <c r="F106" s="479">
        <v>48675</v>
      </c>
      <c r="G106" s="479">
        <v>49214.5</v>
      </c>
      <c r="H106" s="480">
        <v>8162.9151459393179</v>
      </c>
      <c r="I106" s="481">
        <v>8162.9151459393179</v>
      </c>
      <c r="J106" s="478">
        <v>0</v>
      </c>
      <c r="K106" s="478"/>
      <c r="L106" s="540">
        <f t="shared" si="30"/>
        <v>8162.9151459393179</v>
      </c>
      <c r="M106" s="541">
        <f t="shared" si="32"/>
        <v>0</v>
      </c>
      <c r="N106" s="540">
        <f t="shared" si="31"/>
        <v>8162.9151459393179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29"/>
        <v/>
      </c>
      <c r="C107" s="472">
        <f>IF(D93="","-",+C106+1)</f>
        <v>2014</v>
      </c>
      <c r="D107" s="473">
        <v>48675</v>
      </c>
      <c r="E107" s="480">
        <v>1079</v>
      </c>
      <c r="F107" s="479">
        <v>47596</v>
      </c>
      <c r="G107" s="479">
        <v>48135.5</v>
      </c>
      <c r="H107" s="480">
        <v>7846.6545337569178</v>
      </c>
      <c r="I107" s="481">
        <v>7846.6545337569178</v>
      </c>
      <c r="J107" s="478">
        <v>0</v>
      </c>
      <c r="K107" s="478"/>
      <c r="L107" s="540">
        <f t="shared" si="30"/>
        <v>7846.6545337569178</v>
      </c>
      <c r="M107" s="541">
        <f t="shared" si="32"/>
        <v>0</v>
      </c>
      <c r="N107" s="540">
        <f t="shared" si="31"/>
        <v>7846.6545337569178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29"/>
        <v/>
      </c>
      <c r="C108" s="472">
        <f>IF(D93="","-",+C107+1)</f>
        <v>2015</v>
      </c>
      <c r="D108" s="473">
        <v>47596</v>
      </c>
      <c r="E108" s="480">
        <v>1079</v>
      </c>
      <c r="F108" s="479">
        <v>46517</v>
      </c>
      <c r="G108" s="479">
        <v>47056.5</v>
      </c>
      <c r="H108" s="480">
        <v>7499.4810720950254</v>
      </c>
      <c r="I108" s="481">
        <v>7499.4810720950254</v>
      </c>
      <c r="J108" s="478">
        <f t="shared" si="25"/>
        <v>0</v>
      </c>
      <c r="K108" s="478"/>
      <c r="L108" s="540">
        <f t="shared" ref="L108:L113" si="35">H108</f>
        <v>7499.4810720950254</v>
      </c>
      <c r="M108" s="541">
        <f t="shared" si="32"/>
        <v>0</v>
      </c>
      <c r="N108" s="540">
        <f t="shared" ref="N108:N113" si="36">I108</f>
        <v>7499.4810720950254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29"/>
        <v/>
      </c>
      <c r="C109" s="472">
        <f>IF(D93="","-",+C108+1)</f>
        <v>2016</v>
      </c>
      <c r="D109" s="473">
        <v>46517</v>
      </c>
      <c r="E109" s="480">
        <v>1220</v>
      </c>
      <c r="F109" s="479">
        <v>45297</v>
      </c>
      <c r="G109" s="479">
        <v>45907</v>
      </c>
      <c r="H109" s="480">
        <v>7138.135283574793</v>
      </c>
      <c r="I109" s="481">
        <v>7138.135283574793</v>
      </c>
      <c r="J109" s="478">
        <f t="shared" si="25"/>
        <v>0</v>
      </c>
      <c r="K109" s="478"/>
      <c r="L109" s="540">
        <f t="shared" si="35"/>
        <v>7138.135283574793</v>
      </c>
      <c r="M109" s="541">
        <f t="shared" si="32"/>
        <v>0</v>
      </c>
      <c r="N109" s="540">
        <f t="shared" si="36"/>
        <v>7138.135283574793</v>
      </c>
      <c r="O109" s="478">
        <f t="shared" si="33"/>
        <v>0</v>
      </c>
      <c r="P109" s="478">
        <f t="shared" si="34"/>
        <v>0</v>
      </c>
    </row>
    <row r="110" spans="1:16">
      <c r="B110" s="160" t="str">
        <f t="shared" si="29"/>
        <v/>
      </c>
      <c r="C110" s="472">
        <f>IF(D93="","-",+C109+1)</f>
        <v>2017</v>
      </c>
      <c r="D110" s="473">
        <v>45297</v>
      </c>
      <c r="E110" s="480">
        <v>1220</v>
      </c>
      <c r="F110" s="479">
        <v>44077</v>
      </c>
      <c r="G110" s="479">
        <v>44687</v>
      </c>
      <c r="H110" s="480">
        <v>6888.6586283105316</v>
      </c>
      <c r="I110" s="481">
        <v>6888.6586283105316</v>
      </c>
      <c r="J110" s="478">
        <f t="shared" si="25"/>
        <v>0</v>
      </c>
      <c r="K110" s="478"/>
      <c r="L110" s="540">
        <f t="shared" si="35"/>
        <v>6888.6586283105316</v>
      </c>
      <c r="M110" s="541">
        <f t="shared" si="32"/>
        <v>0</v>
      </c>
      <c r="N110" s="540">
        <f t="shared" si="36"/>
        <v>6888.6586283105316</v>
      </c>
      <c r="O110" s="478">
        <f t="shared" si="33"/>
        <v>0</v>
      </c>
      <c r="P110" s="478">
        <f t="shared" si="34"/>
        <v>0</v>
      </c>
    </row>
    <row r="111" spans="1:16">
      <c r="B111" s="160" t="str">
        <f t="shared" si="29"/>
        <v/>
      </c>
      <c r="C111" s="472">
        <f>IF(D93="","-",+C110+1)</f>
        <v>2018</v>
      </c>
      <c r="D111" s="473">
        <v>44077</v>
      </c>
      <c r="E111" s="480">
        <v>1305</v>
      </c>
      <c r="F111" s="479">
        <v>42772</v>
      </c>
      <c r="G111" s="479">
        <v>43424.5</v>
      </c>
      <c r="H111" s="480">
        <v>5766.2406216754998</v>
      </c>
      <c r="I111" s="481">
        <v>5766.2406216754998</v>
      </c>
      <c r="J111" s="478">
        <f t="shared" si="25"/>
        <v>0</v>
      </c>
      <c r="K111" s="478"/>
      <c r="L111" s="540">
        <f t="shared" si="35"/>
        <v>5766.2406216754998</v>
      </c>
      <c r="M111" s="541">
        <f t="shared" ref="M111" si="37">IF(L111&lt;&gt;0,+H111-L111,0)</f>
        <v>0</v>
      </c>
      <c r="N111" s="540">
        <f t="shared" si="36"/>
        <v>5766.2406216754998</v>
      </c>
      <c r="O111" s="478">
        <f t="shared" ref="O111" si="38">IF(N111&lt;&gt;0,+I111-N111,0)</f>
        <v>0</v>
      </c>
      <c r="P111" s="478">
        <f t="shared" ref="P111" si="39">+O111-M111</f>
        <v>0</v>
      </c>
    </row>
    <row r="112" spans="1:16">
      <c r="B112" s="160" t="str">
        <f t="shared" si="29"/>
        <v/>
      </c>
      <c r="C112" s="472">
        <f>IF(D93="","-",+C111+1)</f>
        <v>2019</v>
      </c>
      <c r="D112" s="473">
        <v>42772</v>
      </c>
      <c r="E112" s="480">
        <v>1369</v>
      </c>
      <c r="F112" s="479">
        <v>41403</v>
      </c>
      <c r="G112" s="479">
        <v>42087.5</v>
      </c>
      <c r="H112" s="480">
        <v>5708.8115726685282</v>
      </c>
      <c r="I112" s="481">
        <v>5708.8115726685282</v>
      </c>
      <c r="J112" s="478">
        <f t="shared" si="25"/>
        <v>0</v>
      </c>
      <c r="K112" s="478"/>
      <c r="L112" s="540">
        <f t="shared" si="35"/>
        <v>5708.8115726685282</v>
      </c>
      <c r="M112" s="541">
        <f t="shared" ref="M112:M113" si="40">IF(L112&lt;&gt;0,+H112-L112,0)</f>
        <v>0</v>
      </c>
      <c r="N112" s="540">
        <f t="shared" si="36"/>
        <v>5708.8115726685282</v>
      </c>
      <c r="O112" s="478">
        <f t="shared" si="27"/>
        <v>0</v>
      </c>
      <c r="P112" s="478">
        <f t="shared" si="28"/>
        <v>0</v>
      </c>
    </row>
    <row r="113" spans="2:16">
      <c r="B113" s="160" t="str">
        <f t="shared" si="29"/>
        <v/>
      </c>
      <c r="C113" s="472">
        <f>IF(D93="","-",+C112+1)</f>
        <v>2020</v>
      </c>
      <c r="D113" s="473">
        <v>41403</v>
      </c>
      <c r="E113" s="480">
        <v>1305</v>
      </c>
      <c r="F113" s="479">
        <v>40098</v>
      </c>
      <c r="G113" s="479">
        <v>40750.5</v>
      </c>
      <c r="H113" s="480">
        <v>6003.4206157380368</v>
      </c>
      <c r="I113" s="481">
        <v>6003.4206157380368</v>
      </c>
      <c r="J113" s="478">
        <f t="shared" si="25"/>
        <v>0</v>
      </c>
      <c r="K113" s="478"/>
      <c r="L113" s="540">
        <f t="shared" si="35"/>
        <v>6003.4206157380368</v>
      </c>
      <c r="M113" s="541">
        <f t="shared" si="40"/>
        <v>0</v>
      </c>
      <c r="N113" s="540">
        <f t="shared" si="36"/>
        <v>6003.4206157380368</v>
      </c>
      <c r="O113" s="478">
        <f t="shared" si="27"/>
        <v>0</v>
      </c>
      <c r="P113" s="478">
        <f t="shared" si="28"/>
        <v>0</v>
      </c>
    </row>
    <row r="114" spans="2:16">
      <c r="B114" s="160" t="str">
        <f t="shared" si="29"/>
        <v/>
      </c>
      <c r="C114" s="472">
        <f>IF(D93="","-",+C113+1)</f>
        <v>2021</v>
      </c>
      <c r="D114" s="346">
        <f>IF(F113+SUM(E$99:E113)=D$92,F113,D$92-SUM(E$99:E113))</f>
        <v>40098</v>
      </c>
      <c r="E114" s="486">
        <f>IF(+J96&lt;F113,J96,D114)</f>
        <v>1337</v>
      </c>
      <c r="F114" s="485">
        <f t="shared" ref="F114:F130" si="41">+D114-E114</f>
        <v>38761</v>
      </c>
      <c r="G114" s="485">
        <f t="shared" ref="G114:G130" si="42">+(F114+D114)/2</f>
        <v>39429.5</v>
      </c>
      <c r="H114" s="488">
        <f t="shared" ref="H114:H154" si="43">+J$94*G114+E114</f>
        <v>5587.9435165570358</v>
      </c>
      <c r="I114" s="542">
        <f t="shared" ref="I114:I154" si="44">+J$95*G114+E114</f>
        <v>5587.9435165570358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29"/>
        <v/>
      </c>
      <c r="C115" s="472">
        <f>IF(D93="","-",+C114+1)</f>
        <v>2022</v>
      </c>
      <c r="D115" s="346">
        <f>IF(F114+SUM(E$99:E114)=D$92,F114,D$92-SUM(E$99:E114))</f>
        <v>38761</v>
      </c>
      <c r="E115" s="486">
        <f>IF(+J96&lt;F114,J96,D115)</f>
        <v>1337</v>
      </c>
      <c r="F115" s="485">
        <f t="shared" si="41"/>
        <v>37424</v>
      </c>
      <c r="G115" s="485">
        <f t="shared" si="42"/>
        <v>38092.5</v>
      </c>
      <c r="H115" s="488">
        <f t="shared" si="43"/>
        <v>5443.7998809127403</v>
      </c>
      <c r="I115" s="542">
        <f t="shared" si="44"/>
        <v>5443.7998809127403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29"/>
        <v/>
      </c>
      <c r="C116" s="472">
        <f>IF(D93="","-",+C115+1)</f>
        <v>2023</v>
      </c>
      <c r="D116" s="346">
        <f>IF(F115+SUM(E$99:E115)=D$92,F115,D$92-SUM(E$99:E115))</f>
        <v>37424</v>
      </c>
      <c r="E116" s="486">
        <f>IF(+J96&lt;F115,J96,D116)</f>
        <v>1337</v>
      </c>
      <c r="F116" s="485">
        <f t="shared" si="41"/>
        <v>36087</v>
      </c>
      <c r="G116" s="485">
        <f t="shared" si="42"/>
        <v>36755.5</v>
      </c>
      <c r="H116" s="488">
        <f t="shared" si="43"/>
        <v>5299.6562452684448</v>
      </c>
      <c r="I116" s="542">
        <f t="shared" si="44"/>
        <v>5299.6562452684448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29"/>
        <v/>
      </c>
      <c r="C117" s="472">
        <f>IF(D93="","-",+C116+1)</f>
        <v>2024</v>
      </c>
      <c r="D117" s="346">
        <f>IF(F116+SUM(E$99:E116)=D$92,F116,D$92-SUM(E$99:E116))</f>
        <v>36087</v>
      </c>
      <c r="E117" s="486">
        <f>IF(+J96&lt;F116,J96,D117)</f>
        <v>1337</v>
      </c>
      <c r="F117" s="485">
        <f t="shared" si="41"/>
        <v>34750</v>
      </c>
      <c r="G117" s="485">
        <f t="shared" si="42"/>
        <v>35418.5</v>
      </c>
      <c r="H117" s="488">
        <f t="shared" si="43"/>
        <v>5155.5126096241493</v>
      </c>
      <c r="I117" s="542">
        <f t="shared" si="44"/>
        <v>5155.5126096241493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29"/>
        <v/>
      </c>
      <c r="C118" s="472">
        <f>IF(D93="","-",+C117+1)</f>
        <v>2025</v>
      </c>
      <c r="D118" s="346">
        <f>IF(F117+SUM(E$99:E117)=D$92,F117,D$92-SUM(E$99:E117))</f>
        <v>34750</v>
      </c>
      <c r="E118" s="486">
        <f>IF(+J96&lt;F117,J96,D118)</f>
        <v>1337</v>
      </c>
      <c r="F118" s="485">
        <f t="shared" si="41"/>
        <v>33413</v>
      </c>
      <c r="G118" s="485">
        <f t="shared" si="42"/>
        <v>34081.5</v>
      </c>
      <c r="H118" s="488">
        <f t="shared" si="43"/>
        <v>5011.3689739798529</v>
      </c>
      <c r="I118" s="542">
        <f t="shared" si="44"/>
        <v>5011.3689739798529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29"/>
        <v/>
      </c>
      <c r="C119" s="472">
        <f>IF(D93="","-",+C118+1)</f>
        <v>2026</v>
      </c>
      <c r="D119" s="346">
        <f>IF(F118+SUM(E$99:E118)=D$92,F118,D$92-SUM(E$99:E118))</f>
        <v>33413</v>
      </c>
      <c r="E119" s="486">
        <f>IF(+J96&lt;F118,J96,D119)</f>
        <v>1337</v>
      </c>
      <c r="F119" s="485">
        <f t="shared" si="41"/>
        <v>32076</v>
      </c>
      <c r="G119" s="485">
        <f t="shared" si="42"/>
        <v>32744.5</v>
      </c>
      <c r="H119" s="488">
        <f t="shared" si="43"/>
        <v>4867.2253383355574</v>
      </c>
      <c r="I119" s="542">
        <f t="shared" si="44"/>
        <v>4867.2253383355574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29"/>
        <v/>
      </c>
      <c r="C120" s="472">
        <f>IF(D93="","-",+C119+1)</f>
        <v>2027</v>
      </c>
      <c r="D120" s="346">
        <f>IF(F119+SUM(E$99:E119)=D$92,F119,D$92-SUM(E$99:E119))</f>
        <v>32076</v>
      </c>
      <c r="E120" s="486">
        <f>IF(+J96&lt;F119,J96,D120)</f>
        <v>1337</v>
      </c>
      <c r="F120" s="485">
        <f t="shared" si="41"/>
        <v>30739</v>
      </c>
      <c r="G120" s="485">
        <f t="shared" si="42"/>
        <v>31407.5</v>
      </c>
      <c r="H120" s="488">
        <f t="shared" si="43"/>
        <v>4723.0817026912609</v>
      </c>
      <c r="I120" s="542">
        <f t="shared" si="44"/>
        <v>4723.0817026912609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29"/>
        <v/>
      </c>
      <c r="C121" s="472">
        <f>IF(D93="","-",+C120+1)</f>
        <v>2028</v>
      </c>
      <c r="D121" s="346">
        <f>IF(F120+SUM(E$99:E120)=D$92,F120,D$92-SUM(E$99:E120))</f>
        <v>30739</v>
      </c>
      <c r="E121" s="486">
        <f>IF(+J96&lt;F120,J96,D121)</f>
        <v>1337</v>
      </c>
      <c r="F121" s="485">
        <f t="shared" si="41"/>
        <v>29402</v>
      </c>
      <c r="G121" s="485">
        <f t="shared" si="42"/>
        <v>30070.5</v>
      </c>
      <c r="H121" s="488">
        <f t="shared" si="43"/>
        <v>4578.9380670469654</v>
      </c>
      <c r="I121" s="542">
        <f t="shared" si="44"/>
        <v>4578.9380670469654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29"/>
        <v/>
      </c>
      <c r="C122" s="472">
        <f>IF(D93="","-",+C121+1)</f>
        <v>2029</v>
      </c>
      <c r="D122" s="346">
        <f>IF(F121+SUM(E$99:E121)=D$92,F121,D$92-SUM(E$99:E121))</f>
        <v>29402</v>
      </c>
      <c r="E122" s="486">
        <f>IF(+J96&lt;F121,J96,D122)</f>
        <v>1337</v>
      </c>
      <c r="F122" s="485">
        <f t="shared" si="41"/>
        <v>28065</v>
      </c>
      <c r="G122" s="485">
        <f t="shared" si="42"/>
        <v>28733.5</v>
      </c>
      <c r="H122" s="488">
        <f t="shared" si="43"/>
        <v>4434.7944314026699</v>
      </c>
      <c r="I122" s="542">
        <f t="shared" si="44"/>
        <v>4434.7944314026699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29"/>
        <v/>
      </c>
      <c r="C123" s="472">
        <f>IF(D93="","-",+C122+1)</f>
        <v>2030</v>
      </c>
      <c r="D123" s="346">
        <f>IF(F122+SUM(E$99:E122)=D$92,F122,D$92-SUM(E$99:E122))</f>
        <v>28065</v>
      </c>
      <c r="E123" s="486">
        <f>IF(+J96&lt;F122,J96,D123)</f>
        <v>1337</v>
      </c>
      <c r="F123" s="485">
        <f t="shared" si="41"/>
        <v>26728</v>
      </c>
      <c r="G123" s="485">
        <f t="shared" si="42"/>
        <v>27396.5</v>
      </c>
      <c r="H123" s="488">
        <f t="shared" si="43"/>
        <v>4290.6507957583744</v>
      </c>
      <c r="I123" s="542">
        <f t="shared" si="44"/>
        <v>4290.6507957583744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29"/>
        <v/>
      </c>
      <c r="C124" s="472">
        <f>IF(D93="","-",+C123+1)</f>
        <v>2031</v>
      </c>
      <c r="D124" s="346">
        <f>IF(F123+SUM(E$99:E123)=D$92,F123,D$92-SUM(E$99:E123))</f>
        <v>26728</v>
      </c>
      <c r="E124" s="486">
        <f>IF(+J96&lt;F123,J96,D124)</f>
        <v>1337</v>
      </c>
      <c r="F124" s="485">
        <f t="shared" si="41"/>
        <v>25391</v>
      </c>
      <c r="G124" s="485">
        <f t="shared" si="42"/>
        <v>26059.5</v>
      </c>
      <c r="H124" s="488">
        <f t="shared" si="43"/>
        <v>4146.5071601140789</v>
      </c>
      <c r="I124" s="542">
        <f t="shared" si="44"/>
        <v>4146.5071601140789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29"/>
        <v/>
      </c>
      <c r="C125" s="472">
        <f>IF(D93="","-",+C124+1)</f>
        <v>2032</v>
      </c>
      <c r="D125" s="346">
        <f>IF(F124+SUM(E$99:E124)=D$92,F124,D$92-SUM(E$99:E124))</f>
        <v>25391</v>
      </c>
      <c r="E125" s="486">
        <f>IF(+J96&lt;F124,J96,D125)</f>
        <v>1337</v>
      </c>
      <c r="F125" s="485">
        <f t="shared" si="41"/>
        <v>24054</v>
      </c>
      <c r="G125" s="485">
        <f t="shared" si="42"/>
        <v>24722.5</v>
      </c>
      <c r="H125" s="488">
        <f t="shared" si="43"/>
        <v>4002.363524469783</v>
      </c>
      <c r="I125" s="542">
        <f t="shared" si="44"/>
        <v>4002.363524469783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29"/>
        <v/>
      </c>
      <c r="C126" s="472">
        <f>IF(D93="","-",+C125+1)</f>
        <v>2033</v>
      </c>
      <c r="D126" s="346">
        <f>IF(F125+SUM(E$99:E125)=D$92,F125,D$92-SUM(E$99:E125))</f>
        <v>24054</v>
      </c>
      <c r="E126" s="486">
        <f>IF(+J96&lt;F125,J96,D126)</f>
        <v>1337</v>
      </c>
      <c r="F126" s="485">
        <f t="shared" si="41"/>
        <v>22717</v>
      </c>
      <c r="G126" s="485">
        <f t="shared" si="42"/>
        <v>23385.5</v>
      </c>
      <c r="H126" s="488">
        <f t="shared" si="43"/>
        <v>3858.2198888254875</v>
      </c>
      <c r="I126" s="542">
        <f t="shared" si="44"/>
        <v>3858.2198888254875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29"/>
        <v/>
      </c>
      <c r="C127" s="472">
        <f>IF(D93="","-",+C126+1)</f>
        <v>2034</v>
      </c>
      <c r="D127" s="346">
        <f>IF(F126+SUM(E$99:E126)=D$92,F126,D$92-SUM(E$99:E126))</f>
        <v>22717</v>
      </c>
      <c r="E127" s="486">
        <f>IF(+J96&lt;F126,J96,D127)</f>
        <v>1337</v>
      </c>
      <c r="F127" s="485">
        <f t="shared" si="41"/>
        <v>21380</v>
      </c>
      <c r="G127" s="485">
        <f t="shared" si="42"/>
        <v>22048.5</v>
      </c>
      <c r="H127" s="488">
        <f t="shared" si="43"/>
        <v>3714.076253181192</v>
      </c>
      <c r="I127" s="542">
        <f t="shared" si="44"/>
        <v>3714.076253181192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29"/>
        <v/>
      </c>
      <c r="C128" s="472">
        <f>IF(D93="","-",+C127+1)</f>
        <v>2035</v>
      </c>
      <c r="D128" s="346">
        <f>IF(F127+SUM(E$99:E127)=D$92,F127,D$92-SUM(E$99:E127))</f>
        <v>21380</v>
      </c>
      <c r="E128" s="486">
        <f>IF(+J96&lt;F127,J96,D128)</f>
        <v>1337</v>
      </c>
      <c r="F128" s="485">
        <f t="shared" si="41"/>
        <v>20043</v>
      </c>
      <c r="G128" s="485">
        <f t="shared" si="42"/>
        <v>20711.5</v>
      </c>
      <c r="H128" s="488">
        <f t="shared" si="43"/>
        <v>3569.932617536896</v>
      </c>
      <c r="I128" s="542">
        <f t="shared" si="44"/>
        <v>3569.932617536896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29"/>
        <v/>
      </c>
      <c r="C129" s="472">
        <f>IF(D93="","-",+C128+1)</f>
        <v>2036</v>
      </c>
      <c r="D129" s="346">
        <f>IF(F128+SUM(E$99:E128)=D$92,F128,D$92-SUM(E$99:E128))</f>
        <v>20043</v>
      </c>
      <c r="E129" s="486">
        <f>IF(+J96&lt;F128,J96,D129)</f>
        <v>1337</v>
      </c>
      <c r="F129" s="485">
        <f t="shared" si="41"/>
        <v>18706</v>
      </c>
      <c r="G129" s="485">
        <f t="shared" si="42"/>
        <v>19374.5</v>
      </c>
      <c r="H129" s="488">
        <f t="shared" si="43"/>
        <v>3425.7889818926005</v>
      </c>
      <c r="I129" s="542">
        <f t="shared" si="44"/>
        <v>3425.7889818926005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29"/>
        <v/>
      </c>
      <c r="C130" s="472">
        <f>IF(D93="","-",+C129+1)</f>
        <v>2037</v>
      </c>
      <c r="D130" s="346">
        <f>IF(F129+SUM(E$99:E129)=D$92,F129,D$92-SUM(E$99:E129))</f>
        <v>18706</v>
      </c>
      <c r="E130" s="486">
        <f>IF(+J96&lt;F129,J96,D130)</f>
        <v>1337</v>
      </c>
      <c r="F130" s="485">
        <f t="shared" si="41"/>
        <v>17369</v>
      </c>
      <c r="G130" s="485">
        <f t="shared" si="42"/>
        <v>18037.5</v>
      </c>
      <c r="H130" s="488">
        <f t="shared" si="43"/>
        <v>3281.645346248305</v>
      </c>
      <c r="I130" s="542">
        <f t="shared" si="44"/>
        <v>3281.645346248305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29"/>
        <v/>
      </c>
      <c r="C131" s="472">
        <f>IF(D93="","-",+C130+1)</f>
        <v>2038</v>
      </c>
      <c r="D131" s="346">
        <f>IF(F130+SUM(E$99:E130)=D$92,F130,D$92-SUM(E$99:E130))</f>
        <v>17369</v>
      </c>
      <c r="E131" s="486">
        <f>IF(+J96&lt;F130,J96,D131)</f>
        <v>1337</v>
      </c>
      <c r="F131" s="485">
        <f t="shared" ref="F131:F154" si="45">+D131-E131</f>
        <v>16032</v>
      </c>
      <c r="G131" s="485">
        <f t="shared" ref="G131:G154" si="46">+(F131+D131)/2</f>
        <v>16700.5</v>
      </c>
      <c r="H131" s="488">
        <f t="shared" si="43"/>
        <v>3137.5017106040091</v>
      </c>
      <c r="I131" s="542">
        <f t="shared" si="44"/>
        <v>3137.5017106040091</v>
      </c>
      <c r="J131" s="478">
        <f t="shared" ref="J131:J154" si="47">+I131-H131</f>
        <v>0</v>
      </c>
      <c r="K131" s="478"/>
      <c r="L131" s="487"/>
      <c r="M131" s="478">
        <f t="shared" ref="M131:M154" si="48">IF(L131&lt;&gt;0,+H131-L131,0)</f>
        <v>0</v>
      </c>
      <c r="N131" s="487"/>
      <c r="O131" s="478">
        <f t="shared" ref="O131:O154" si="49">IF(N131&lt;&gt;0,+I131-N131,0)</f>
        <v>0</v>
      </c>
      <c r="P131" s="478">
        <f t="shared" ref="P131:P154" si="50">+O131-M131</f>
        <v>0</v>
      </c>
    </row>
    <row r="132" spans="2:16">
      <c r="B132" s="160" t="str">
        <f t="shared" si="29"/>
        <v/>
      </c>
      <c r="C132" s="472">
        <f>IF(D93="","-",+C131+1)</f>
        <v>2039</v>
      </c>
      <c r="D132" s="346">
        <f>IF(F131+SUM(E$99:E131)=D$92,F131,D$92-SUM(E$99:E131))</f>
        <v>16032</v>
      </c>
      <c r="E132" s="486">
        <f>IF(+J96&lt;F131,J96,D132)</f>
        <v>1337</v>
      </c>
      <c r="F132" s="485">
        <f t="shared" si="45"/>
        <v>14695</v>
      </c>
      <c r="G132" s="485">
        <f t="shared" si="46"/>
        <v>15363.5</v>
      </c>
      <c r="H132" s="488">
        <f t="shared" si="43"/>
        <v>2993.3580749597131</v>
      </c>
      <c r="I132" s="542">
        <f t="shared" si="44"/>
        <v>2993.3580749597131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29"/>
        <v/>
      </c>
      <c r="C133" s="472">
        <f>IF(D93="","-",+C132+1)</f>
        <v>2040</v>
      </c>
      <c r="D133" s="346">
        <f>IF(F132+SUM(E$99:E132)=D$92,F132,D$92-SUM(E$99:E132))</f>
        <v>14695</v>
      </c>
      <c r="E133" s="486">
        <f>IF(+J96&lt;F132,J96,D133)</f>
        <v>1337</v>
      </c>
      <c r="F133" s="485">
        <f t="shared" si="45"/>
        <v>13358</v>
      </c>
      <c r="G133" s="485">
        <f t="shared" si="46"/>
        <v>14026.5</v>
      </c>
      <c r="H133" s="488">
        <f t="shared" si="43"/>
        <v>2849.2144393154176</v>
      </c>
      <c r="I133" s="542">
        <f t="shared" si="44"/>
        <v>2849.2144393154176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29"/>
        <v/>
      </c>
      <c r="C134" s="472">
        <f>IF(D93="","-",+C133+1)</f>
        <v>2041</v>
      </c>
      <c r="D134" s="346">
        <f>IF(F133+SUM(E$99:E133)=D$92,F133,D$92-SUM(E$99:E133))</f>
        <v>13358</v>
      </c>
      <c r="E134" s="486">
        <f>IF(+J96&lt;F133,J96,D134)</f>
        <v>1337</v>
      </c>
      <c r="F134" s="485">
        <f t="shared" si="45"/>
        <v>12021</v>
      </c>
      <c r="G134" s="485">
        <f t="shared" si="46"/>
        <v>12689.5</v>
      </c>
      <c r="H134" s="488">
        <f t="shared" si="43"/>
        <v>2705.0708036711221</v>
      </c>
      <c r="I134" s="542">
        <f t="shared" si="44"/>
        <v>2705.0708036711221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29"/>
        <v/>
      </c>
      <c r="C135" s="472">
        <f>IF(D93="","-",+C134+1)</f>
        <v>2042</v>
      </c>
      <c r="D135" s="346">
        <f>IF(F134+SUM(E$99:E134)=D$92,F134,D$92-SUM(E$99:E134))</f>
        <v>12021</v>
      </c>
      <c r="E135" s="486">
        <f>IF(+J96&lt;F134,J96,D135)</f>
        <v>1337</v>
      </c>
      <c r="F135" s="485">
        <f t="shared" si="45"/>
        <v>10684</v>
      </c>
      <c r="G135" s="485">
        <f t="shared" si="46"/>
        <v>11352.5</v>
      </c>
      <c r="H135" s="488">
        <f t="shared" si="43"/>
        <v>2560.9271680268266</v>
      </c>
      <c r="I135" s="542">
        <f t="shared" si="44"/>
        <v>2560.9271680268266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29"/>
        <v/>
      </c>
      <c r="C136" s="472">
        <f>IF(D93="","-",+C135+1)</f>
        <v>2043</v>
      </c>
      <c r="D136" s="346">
        <f>IF(F135+SUM(E$99:E135)=D$92,F135,D$92-SUM(E$99:E135))</f>
        <v>10684</v>
      </c>
      <c r="E136" s="486">
        <f>IF(+J96&lt;F135,J96,D136)</f>
        <v>1337</v>
      </c>
      <c r="F136" s="485">
        <f t="shared" si="45"/>
        <v>9347</v>
      </c>
      <c r="G136" s="485">
        <f t="shared" si="46"/>
        <v>10015.5</v>
      </c>
      <c r="H136" s="488">
        <f t="shared" si="43"/>
        <v>2416.7835323825307</v>
      </c>
      <c r="I136" s="542">
        <f t="shared" si="44"/>
        <v>2416.7835323825307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29"/>
        <v/>
      </c>
      <c r="C137" s="472">
        <f>IF(D93="","-",+C136+1)</f>
        <v>2044</v>
      </c>
      <c r="D137" s="346">
        <f>IF(F136+SUM(E$99:E136)=D$92,F136,D$92-SUM(E$99:E136))</f>
        <v>9347</v>
      </c>
      <c r="E137" s="486">
        <f>IF(+J96&lt;F136,J96,D137)</f>
        <v>1337</v>
      </c>
      <c r="F137" s="485">
        <f t="shared" si="45"/>
        <v>8010</v>
      </c>
      <c r="G137" s="485">
        <f t="shared" si="46"/>
        <v>8678.5</v>
      </c>
      <c r="H137" s="488">
        <f t="shared" si="43"/>
        <v>2272.6398967382347</v>
      </c>
      <c r="I137" s="542">
        <f t="shared" si="44"/>
        <v>2272.6398967382347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29"/>
        <v/>
      </c>
      <c r="C138" s="472">
        <f>IF(D93="","-",+C137+1)</f>
        <v>2045</v>
      </c>
      <c r="D138" s="346">
        <f>IF(F137+SUM(E$99:E137)=D$92,F137,D$92-SUM(E$99:E137))</f>
        <v>8010</v>
      </c>
      <c r="E138" s="486">
        <f>IF(+J96&lt;F137,J96,D138)</f>
        <v>1337</v>
      </c>
      <c r="F138" s="485">
        <f t="shared" si="45"/>
        <v>6673</v>
      </c>
      <c r="G138" s="485">
        <f t="shared" si="46"/>
        <v>7341.5</v>
      </c>
      <c r="H138" s="488">
        <f t="shared" si="43"/>
        <v>2128.4962610939392</v>
      </c>
      <c r="I138" s="542">
        <f t="shared" si="44"/>
        <v>2128.4962610939392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29"/>
        <v/>
      </c>
      <c r="C139" s="472">
        <f>IF(D93="","-",+C138+1)</f>
        <v>2046</v>
      </c>
      <c r="D139" s="346">
        <f>IF(F138+SUM(E$99:E138)=D$92,F138,D$92-SUM(E$99:E138))</f>
        <v>6673</v>
      </c>
      <c r="E139" s="486">
        <f>IF(+J96&lt;F138,J96,D139)</f>
        <v>1337</v>
      </c>
      <c r="F139" s="485">
        <f t="shared" si="45"/>
        <v>5336</v>
      </c>
      <c r="G139" s="485">
        <f t="shared" si="46"/>
        <v>6004.5</v>
      </c>
      <c r="H139" s="488">
        <f t="shared" si="43"/>
        <v>1984.3526254496437</v>
      </c>
      <c r="I139" s="542">
        <f t="shared" si="44"/>
        <v>1984.3526254496437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29"/>
        <v/>
      </c>
      <c r="C140" s="472">
        <f>IF(D93="","-",+C139+1)</f>
        <v>2047</v>
      </c>
      <c r="D140" s="346">
        <f>IF(F139+SUM(E$99:E139)=D$92,F139,D$92-SUM(E$99:E139))</f>
        <v>5336</v>
      </c>
      <c r="E140" s="486">
        <f>IF(+J96&lt;F139,J96,D140)</f>
        <v>1337</v>
      </c>
      <c r="F140" s="485">
        <f t="shared" si="45"/>
        <v>3999</v>
      </c>
      <c r="G140" s="485">
        <f t="shared" si="46"/>
        <v>4667.5</v>
      </c>
      <c r="H140" s="488">
        <f t="shared" si="43"/>
        <v>1840.2089898053478</v>
      </c>
      <c r="I140" s="542">
        <f t="shared" si="44"/>
        <v>1840.2089898053478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29"/>
        <v/>
      </c>
      <c r="C141" s="472">
        <f>IF(D93="","-",+C140+1)</f>
        <v>2048</v>
      </c>
      <c r="D141" s="346">
        <f>IF(F140+SUM(E$99:E140)=D$92,F140,D$92-SUM(E$99:E140))</f>
        <v>3999</v>
      </c>
      <c r="E141" s="486">
        <f>IF(+J96&lt;F140,J96,D141)</f>
        <v>1337</v>
      </c>
      <c r="F141" s="485">
        <f t="shared" si="45"/>
        <v>2662</v>
      </c>
      <c r="G141" s="485">
        <f t="shared" si="46"/>
        <v>3330.5</v>
      </c>
      <c r="H141" s="488">
        <f t="shared" si="43"/>
        <v>1696.0653541610523</v>
      </c>
      <c r="I141" s="542">
        <f t="shared" si="44"/>
        <v>1696.0653541610523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29"/>
        <v/>
      </c>
      <c r="C142" s="472">
        <f>IF(D93="","-",+C141+1)</f>
        <v>2049</v>
      </c>
      <c r="D142" s="346">
        <f>IF(F141+SUM(E$99:E141)=D$92,F141,D$92-SUM(E$99:E141))</f>
        <v>2662</v>
      </c>
      <c r="E142" s="486">
        <f>IF(+J96&lt;F141,J96,D142)</f>
        <v>1337</v>
      </c>
      <c r="F142" s="485">
        <f t="shared" si="45"/>
        <v>1325</v>
      </c>
      <c r="G142" s="485">
        <f t="shared" si="46"/>
        <v>1993.5</v>
      </c>
      <c r="H142" s="488">
        <f t="shared" si="43"/>
        <v>1551.9217185167565</v>
      </c>
      <c r="I142" s="542">
        <f t="shared" si="44"/>
        <v>1551.9217185167565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29"/>
        <v/>
      </c>
      <c r="C143" s="472">
        <f>IF(D93="","-",+C142+1)</f>
        <v>2050</v>
      </c>
      <c r="D143" s="346">
        <f>IF(F142+SUM(E$99:E142)=D$92,F142,D$92-SUM(E$99:E142))</f>
        <v>1325</v>
      </c>
      <c r="E143" s="486">
        <f>IF(+J96&lt;F142,J96,D143)</f>
        <v>1325</v>
      </c>
      <c r="F143" s="485">
        <f t="shared" si="45"/>
        <v>0</v>
      </c>
      <c r="G143" s="485">
        <f t="shared" si="46"/>
        <v>662.5</v>
      </c>
      <c r="H143" s="488">
        <f t="shared" si="43"/>
        <v>1396.4249503473043</v>
      </c>
      <c r="I143" s="542">
        <f t="shared" si="44"/>
        <v>1396.4249503473043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29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8">
        <f t="shared" si="43"/>
        <v>0</v>
      </c>
      <c r="I144" s="542">
        <f t="shared" si="44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29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8">
        <f t="shared" si="43"/>
        <v>0</v>
      </c>
      <c r="I145" s="542">
        <f t="shared" si="44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29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8">
        <f t="shared" si="43"/>
        <v>0</v>
      </c>
      <c r="I146" s="542">
        <f t="shared" si="44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29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8">
        <f t="shared" si="43"/>
        <v>0</v>
      </c>
      <c r="I147" s="542">
        <f t="shared" si="44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29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8">
        <f t="shared" si="43"/>
        <v>0</v>
      </c>
      <c r="I148" s="542">
        <f t="shared" si="44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29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8">
        <f t="shared" si="43"/>
        <v>0</v>
      </c>
      <c r="I149" s="542">
        <f t="shared" si="44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29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8">
        <f t="shared" si="43"/>
        <v>0</v>
      </c>
      <c r="I150" s="542">
        <f t="shared" si="44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29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8">
        <f t="shared" si="43"/>
        <v>0</v>
      </c>
      <c r="I151" s="542">
        <f t="shared" si="44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29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8">
        <f t="shared" si="43"/>
        <v>0</v>
      </c>
      <c r="I152" s="542">
        <f t="shared" si="44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29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8">
        <f t="shared" si="43"/>
        <v>0</v>
      </c>
      <c r="I153" s="542">
        <f t="shared" si="44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29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2">
        <f t="shared" si="43"/>
        <v>0</v>
      </c>
      <c r="I154" s="545">
        <f t="shared" si="44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6" t="s">
        <v>77</v>
      </c>
      <c r="D155" s="347"/>
      <c r="E155" s="347">
        <f>SUM(E99:E154)</f>
        <v>56133</v>
      </c>
      <c r="F155" s="347"/>
      <c r="G155" s="347"/>
      <c r="H155" s="347">
        <f>SUM(H99:H154)</f>
        <v>204601.30840888695</v>
      </c>
      <c r="I155" s="347">
        <f>SUM(I99:I154)</f>
        <v>204601.30840888695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2" priority="1" stopIfTrue="1" operator="equal">
      <formula>$I$10</formula>
    </cfRule>
  </conditionalFormatting>
  <conditionalFormatting sqref="C99:C154">
    <cfRule type="cellIs" dxfId="5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7">
    <tabColor rgb="FFC00000"/>
  </sheetPr>
  <dimension ref="A1:P162"/>
  <sheetViews>
    <sheetView view="pageBreakPreview" topLeftCell="A10" zoomScale="75" zoomScaleNormal="100" workbookViewId="0">
      <selection activeCell="E24" sqref="E2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9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7037.8367110732015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7037.8367110732015</v>
      </c>
      <c r="O6" s="232"/>
      <c r="P6" s="232"/>
    </row>
    <row r="7" spans="1:16" ht="13.5" thickBot="1">
      <c r="C7" s="431" t="s">
        <v>46</v>
      </c>
      <c r="D7" s="432" t="s">
        <v>216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88</v>
      </c>
      <c r="E9" s="577" t="s">
        <v>346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72551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1727.4047619047619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2007</v>
      </c>
      <c r="D17" s="473">
        <v>72551</v>
      </c>
      <c r="E17" s="474">
        <v>863.70238095238085</v>
      </c>
      <c r="F17" s="473">
        <v>71687.297619047618</v>
      </c>
      <c r="G17" s="474">
        <v>11207.929543529199</v>
      </c>
      <c r="H17" s="481">
        <v>11207.929543529199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2008</v>
      </c>
      <c r="D18" s="479">
        <v>71687.297619047618</v>
      </c>
      <c r="E18" s="480">
        <v>1295.5535714285713</v>
      </c>
      <c r="F18" s="479">
        <v>70391.744047619053</v>
      </c>
      <c r="G18" s="480">
        <v>11452.836869621469</v>
      </c>
      <c r="H18" s="481">
        <v>11452.836869621469</v>
      </c>
      <c r="I18" s="475">
        <f t="shared" si="0"/>
        <v>0</v>
      </c>
      <c r="J18" s="475"/>
      <c r="K18" s="476">
        <v>0</v>
      </c>
      <c r="L18" s="478">
        <f t="shared" si="1"/>
        <v>0</v>
      </c>
      <c r="M18" s="476">
        <v>0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2009</v>
      </c>
      <c r="D19" s="479">
        <v>70391.744047619053</v>
      </c>
      <c r="E19" s="480">
        <v>1295.5535714285713</v>
      </c>
      <c r="F19" s="479">
        <v>69096.190476190488</v>
      </c>
      <c r="G19" s="480">
        <v>11265.893005237553</v>
      </c>
      <c r="H19" s="481">
        <v>11265.893005237553</v>
      </c>
      <c r="I19" s="475">
        <f t="shared" si="0"/>
        <v>0</v>
      </c>
      <c r="J19" s="475"/>
      <c r="K19" s="476">
        <v>0</v>
      </c>
      <c r="L19" s="478">
        <f t="shared" si="1"/>
        <v>0</v>
      </c>
      <c r="M19" s="476">
        <v>0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4">IF(D20=F19,"","IU")</f>
        <v/>
      </c>
      <c r="C20" s="472">
        <f>IF(D11="","-",+C19+1)</f>
        <v>2010</v>
      </c>
      <c r="D20" s="479">
        <v>69096.190476190488</v>
      </c>
      <c r="E20" s="480">
        <v>1295.5535714285713</v>
      </c>
      <c r="F20" s="479">
        <v>67800.636904761923</v>
      </c>
      <c r="G20" s="480">
        <v>11078.949140853634</v>
      </c>
      <c r="H20" s="481">
        <v>11078.949140853634</v>
      </c>
      <c r="I20" s="475">
        <f t="shared" si="0"/>
        <v>0</v>
      </c>
      <c r="J20" s="475"/>
      <c r="K20" s="540">
        <f t="shared" ref="K20:K25" si="5">G20</f>
        <v>11078.949140853634</v>
      </c>
      <c r="L20" s="541">
        <f t="shared" si="1"/>
        <v>0</v>
      </c>
      <c r="M20" s="540">
        <f t="shared" ref="M20:M25" si="6">H20</f>
        <v>11078.949140853634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4"/>
        <v/>
      </c>
      <c r="C21" s="472">
        <f>IF(D11="","-",+C20+1)</f>
        <v>2011</v>
      </c>
      <c r="D21" s="479">
        <v>67800.636904761923</v>
      </c>
      <c r="E21" s="480">
        <v>1422.5686274509803</v>
      </c>
      <c r="F21" s="479">
        <v>66378.068277310944</v>
      </c>
      <c r="G21" s="480">
        <v>11813.613268851301</v>
      </c>
      <c r="H21" s="481">
        <v>11813.613268851301</v>
      </c>
      <c r="I21" s="475">
        <f t="shared" si="0"/>
        <v>0</v>
      </c>
      <c r="J21" s="475"/>
      <c r="K21" s="476">
        <f t="shared" si="5"/>
        <v>11813.613268851301</v>
      </c>
      <c r="L21" s="550">
        <f t="shared" si="1"/>
        <v>0</v>
      </c>
      <c r="M21" s="476">
        <f t="shared" si="6"/>
        <v>11813.613268851301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4"/>
        <v/>
      </c>
      <c r="C22" s="472">
        <f>IF(D11="","-",+C21+1)</f>
        <v>2012</v>
      </c>
      <c r="D22" s="479">
        <v>66378.068277310944</v>
      </c>
      <c r="E22" s="480">
        <v>1395.2115384615386</v>
      </c>
      <c r="F22" s="479">
        <v>64982.856738849405</v>
      </c>
      <c r="G22" s="480">
        <v>10441.262785463339</v>
      </c>
      <c r="H22" s="481">
        <v>10441.262785463339</v>
      </c>
      <c r="I22" s="475">
        <f t="shared" si="0"/>
        <v>0</v>
      </c>
      <c r="J22" s="475"/>
      <c r="K22" s="476">
        <f t="shared" si="5"/>
        <v>10441.262785463339</v>
      </c>
      <c r="L22" s="550">
        <f t="shared" si="1"/>
        <v>0</v>
      </c>
      <c r="M22" s="476">
        <f t="shared" si="6"/>
        <v>10441.262785463339</v>
      </c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4"/>
        <v/>
      </c>
      <c r="C23" s="472">
        <f>IF(D11="","-",+C22+1)</f>
        <v>2013</v>
      </c>
      <c r="D23" s="479">
        <v>64982.856738849405</v>
      </c>
      <c r="E23" s="480">
        <v>1395.2115384615386</v>
      </c>
      <c r="F23" s="479">
        <v>63587.645200387866</v>
      </c>
      <c r="G23" s="480">
        <v>10475.957148527981</v>
      </c>
      <c r="H23" s="481">
        <v>10475.957148527981</v>
      </c>
      <c r="I23" s="475">
        <v>0</v>
      </c>
      <c r="J23" s="475"/>
      <c r="K23" s="476">
        <f t="shared" si="5"/>
        <v>10475.957148527981</v>
      </c>
      <c r="L23" s="550">
        <f t="shared" ref="L23:L28" si="7">IF(K23&lt;&gt;0,+G23-K23,0)</f>
        <v>0</v>
      </c>
      <c r="M23" s="476">
        <f t="shared" si="6"/>
        <v>10475.957148527981</v>
      </c>
      <c r="N23" s="478">
        <f t="shared" ref="N23:N28" si="8">IF(M23&lt;&gt;0,+H23-M23,0)</f>
        <v>0</v>
      </c>
      <c r="O23" s="478">
        <f t="shared" ref="O23:O28" si="9">+N23-L23</f>
        <v>0</v>
      </c>
      <c r="P23" s="242"/>
    </row>
    <row r="24" spans="2:16">
      <c r="B24" s="160" t="str">
        <f t="shared" si="4"/>
        <v/>
      </c>
      <c r="C24" s="472">
        <f>IF(D11="","-",+C23+1)</f>
        <v>2014</v>
      </c>
      <c r="D24" s="479">
        <v>63587.645200387866</v>
      </c>
      <c r="E24" s="480">
        <v>1395.2115384615386</v>
      </c>
      <c r="F24" s="479">
        <v>62192.433661926327</v>
      </c>
      <c r="G24" s="480">
        <v>9956.5453160541092</v>
      </c>
      <c r="H24" s="481">
        <v>9956.5453160541092</v>
      </c>
      <c r="I24" s="475">
        <v>0</v>
      </c>
      <c r="J24" s="475"/>
      <c r="K24" s="476">
        <f t="shared" si="5"/>
        <v>9956.5453160541092</v>
      </c>
      <c r="L24" s="550">
        <f t="shared" si="7"/>
        <v>0</v>
      </c>
      <c r="M24" s="476">
        <f t="shared" si="6"/>
        <v>9956.5453160541092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4"/>
        <v/>
      </c>
      <c r="C25" s="472">
        <f>IF(D11="","-",+C24+1)</f>
        <v>2015</v>
      </c>
      <c r="D25" s="479">
        <v>62192.433661926327</v>
      </c>
      <c r="E25" s="480">
        <v>1395.2115384615386</v>
      </c>
      <c r="F25" s="479">
        <v>60797.222123464788</v>
      </c>
      <c r="G25" s="480">
        <v>9777.4252794187214</v>
      </c>
      <c r="H25" s="481">
        <v>9777.4252794187214</v>
      </c>
      <c r="I25" s="475">
        <v>0</v>
      </c>
      <c r="J25" s="475"/>
      <c r="K25" s="476">
        <f t="shared" si="5"/>
        <v>9777.4252794187214</v>
      </c>
      <c r="L25" s="550">
        <f t="shared" si="7"/>
        <v>0</v>
      </c>
      <c r="M25" s="476">
        <f t="shared" si="6"/>
        <v>9777.4252794187214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4"/>
        <v/>
      </c>
      <c r="C26" s="472">
        <f>IF(D11="","-",+C25+1)</f>
        <v>2016</v>
      </c>
      <c r="D26" s="479">
        <v>60797.222123464788</v>
      </c>
      <c r="E26" s="480">
        <v>1395.2115384615386</v>
      </c>
      <c r="F26" s="479">
        <v>59402.010585003249</v>
      </c>
      <c r="G26" s="480">
        <v>9186.357507240491</v>
      </c>
      <c r="H26" s="481">
        <v>9186.357507240491</v>
      </c>
      <c r="I26" s="475">
        <f t="shared" si="0"/>
        <v>0</v>
      </c>
      <c r="J26" s="475"/>
      <c r="K26" s="476">
        <f t="shared" ref="K26:K31" si="10">G26</f>
        <v>9186.357507240491</v>
      </c>
      <c r="L26" s="550">
        <f t="shared" si="7"/>
        <v>0</v>
      </c>
      <c r="M26" s="476">
        <f t="shared" ref="M26:M31" si="11">H26</f>
        <v>9186.357507240491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4"/>
        <v/>
      </c>
      <c r="C27" s="472">
        <f>IF(D11="","-",+C26+1)</f>
        <v>2017</v>
      </c>
      <c r="D27" s="479">
        <v>59402.010585003249</v>
      </c>
      <c r="E27" s="480">
        <v>1577.195652173913</v>
      </c>
      <c r="F27" s="479">
        <v>57824.814932829337</v>
      </c>
      <c r="G27" s="480">
        <v>8936.0194589414823</v>
      </c>
      <c r="H27" s="481">
        <v>8936.0194589414823</v>
      </c>
      <c r="I27" s="475">
        <f t="shared" si="0"/>
        <v>0</v>
      </c>
      <c r="J27" s="475"/>
      <c r="K27" s="476">
        <f t="shared" si="10"/>
        <v>8936.0194589414823</v>
      </c>
      <c r="L27" s="550">
        <f t="shared" si="7"/>
        <v>0</v>
      </c>
      <c r="M27" s="476">
        <f t="shared" si="11"/>
        <v>8936.0194589414823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4"/>
        <v/>
      </c>
      <c r="C28" s="472">
        <f>IF(D11="","-",+C27+1)</f>
        <v>2018</v>
      </c>
      <c r="D28" s="479">
        <v>57824.814932829337</v>
      </c>
      <c r="E28" s="480">
        <v>1612.2444444444445</v>
      </c>
      <c r="F28" s="479">
        <v>56212.570488384896</v>
      </c>
      <c r="G28" s="480">
        <v>8440.7426840086373</v>
      </c>
      <c r="H28" s="481">
        <v>8440.7426840086373</v>
      </c>
      <c r="I28" s="475">
        <f t="shared" si="0"/>
        <v>0</v>
      </c>
      <c r="J28" s="475"/>
      <c r="K28" s="476">
        <f t="shared" si="10"/>
        <v>8440.7426840086373</v>
      </c>
      <c r="L28" s="550">
        <f t="shared" si="7"/>
        <v>0</v>
      </c>
      <c r="M28" s="476">
        <f t="shared" si="11"/>
        <v>8440.7426840086373</v>
      </c>
      <c r="N28" s="478">
        <f t="shared" si="8"/>
        <v>0</v>
      </c>
      <c r="O28" s="478">
        <f t="shared" si="9"/>
        <v>0</v>
      </c>
      <c r="P28" s="242"/>
    </row>
    <row r="29" spans="2:16">
      <c r="B29" s="160" t="str">
        <f t="shared" si="4"/>
        <v/>
      </c>
      <c r="C29" s="472">
        <f>IF(D11="","-",+C28+1)</f>
        <v>2019</v>
      </c>
      <c r="D29" s="479">
        <v>56212.570488384896</v>
      </c>
      <c r="E29" s="480">
        <v>1813.7750000000001</v>
      </c>
      <c r="F29" s="479">
        <v>54398.795488384894</v>
      </c>
      <c r="G29" s="480">
        <v>7989.0212540933571</v>
      </c>
      <c r="H29" s="481">
        <v>7989.0212540933571</v>
      </c>
      <c r="I29" s="475">
        <f t="shared" si="0"/>
        <v>0</v>
      </c>
      <c r="J29" s="475"/>
      <c r="K29" s="476">
        <f t="shared" si="10"/>
        <v>7989.0212540933571</v>
      </c>
      <c r="L29" s="550">
        <f t="shared" ref="L29" si="12">IF(K29&lt;&gt;0,+G29-K29,0)</f>
        <v>0</v>
      </c>
      <c r="M29" s="476">
        <f t="shared" si="11"/>
        <v>7989.0212540933571</v>
      </c>
      <c r="N29" s="478">
        <f t="shared" ref="N29" si="13">IF(M29&lt;&gt;0,+H29-M29,0)</f>
        <v>0</v>
      </c>
      <c r="O29" s="478">
        <f t="shared" si="3"/>
        <v>0</v>
      </c>
      <c r="P29" s="242"/>
    </row>
    <row r="30" spans="2:16">
      <c r="B30" s="160" t="str">
        <f t="shared" si="4"/>
        <v>IU</v>
      </c>
      <c r="C30" s="472">
        <f>IF(D11="","-",+C29+1)</f>
        <v>2020</v>
      </c>
      <c r="D30" s="479">
        <v>54600.326043940455</v>
      </c>
      <c r="E30" s="480">
        <v>1727.4047619047619</v>
      </c>
      <c r="F30" s="479">
        <v>52872.921282035692</v>
      </c>
      <c r="G30" s="480">
        <v>7531.2168125199005</v>
      </c>
      <c r="H30" s="481">
        <v>7531.2168125199005</v>
      </c>
      <c r="I30" s="475">
        <f t="shared" si="0"/>
        <v>0</v>
      </c>
      <c r="J30" s="475"/>
      <c r="K30" s="476">
        <f t="shared" si="10"/>
        <v>7531.2168125199005</v>
      </c>
      <c r="L30" s="550">
        <f t="shared" ref="L30" si="14">IF(K30&lt;&gt;0,+G30-K30,0)</f>
        <v>0</v>
      </c>
      <c r="M30" s="476">
        <f t="shared" si="11"/>
        <v>7531.2168125199005</v>
      </c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4"/>
        <v>IU</v>
      </c>
      <c r="C31" s="472">
        <f>IF(D11="","-",+C30+1)</f>
        <v>2021</v>
      </c>
      <c r="D31" s="479">
        <v>52671.390726480109</v>
      </c>
      <c r="E31" s="480">
        <v>1687.2325581395348</v>
      </c>
      <c r="F31" s="479">
        <v>50984.158168340575</v>
      </c>
      <c r="G31" s="480">
        <v>7184.4287124898146</v>
      </c>
      <c r="H31" s="481">
        <v>7184.4287124898146</v>
      </c>
      <c r="I31" s="475">
        <f t="shared" si="0"/>
        <v>0</v>
      </c>
      <c r="J31" s="475"/>
      <c r="K31" s="476">
        <f t="shared" si="10"/>
        <v>7184.4287124898146</v>
      </c>
      <c r="L31" s="550">
        <f t="shared" ref="L31" si="15">IF(K31&lt;&gt;0,+G31-K31,0)</f>
        <v>0</v>
      </c>
      <c r="M31" s="476">
        <f t="shared" si="11"/>
        <v>7184.4287124898146</v>
      </c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4"/>
        <v/>
      </c>
      <c r="C32" s="472">
        <f>IF(D11="","-",+C31+1)</f>
        <v>2022</v>
      </c>
      <c r="D32" s="485">
        <f>IF(F31+SUM(E$17:E31)=D$10,F31,D$10-SUM(E$17:E31))</f>
        <v>50984.158168340575</v>
      </c>
      <c r="E32" s="484">
        <f>IF(+I14&lt;F31,I14,D32)</f>
        <v>1727.4047619047619</v>
      </c>
      <c r="F32" s="485">
        <f t="shared" ref="F32:F48" si="16">+D32-E32</f>
        <v>49256.753406435811</v>
      </c>
      <c r="G32" s="486">
        <f t="shared" ref="G32:G72" si="17">+I$12*F32+E32</f>
        <v>7037.8367110732015</v>
      </c>
      <c r="H32" s="455">
        <f t="shared" ref="H32:H72" si="18">+I$13*F32+E32</f>
        <v>7037.8367110732015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4"/>
        <v/>
      </c>
      <c r="C33" s="472">
        <f>IF(D11="","-",+C32+1)</f>
        <v>2023</v>
      </c>
      <c r="D33" s="485">
        <f>IF(F32+SUM(E$17:E32)=D$10,F32,D$10-SUM(E$17:E32))</f>
        <v>49256.753406435811</v>
      </c>
      <c r="E33" s="484">
        <f>IF(+I14&lt;F32,I14,D33)</f>
        <v>1727.4047619047619</v>
      </c>
      <c r="F33" s="485">
        <f t="shared" si="16"/>
        <v>47529.348644531048</v>
      </c>
      <c r="G33" s="486">
        <f t="shared" si="17"/>
        <v>6851.6030516788705</v>
      </c>
      <c r="H33" s="455">
        <f t="shared" si="18"/>
        <v>6851.6030516788705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4"/>
        <v/>
      </c>
      <c r="C34" s="472">
        <f>IF(D11="","-",+C33+1)</f>
        <v>2024</v>
      </c>
      <c r="D34" s="485">
        <f>IF(F33+SUM(E$17:E33)=D$10,F33,D$10-SUM(E$17:E33))</f>
        <v>47529.348644531048</v>
      </c>
      <c r="E34" s="484">
        <f>IF(+I14&lt;F33,I14,D34)</f>
        <v>1727.4047619047619</v>
      </c>
      <c r="F34" s="485">
        <f t="shared" si="16"/>
        <v>45801.943882626285</v>
      </c>
      <c r="G34" s="486">
        <f t="shared" si="17"/>
        <v>6665.3693922845378</v>
      </c>
      <c r="H34" s="455">
        <f t="shared" si="18"/>
        <v>6665.3693922845378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4"/>
        <v/>
      </c>
      <c r="C35" s="472">
        <f>IF(D11="","-",+C34+1)</f>
        <v>2025</v>
      </c>
      <c r="D35" s="485">
        <f>IF(F34+SUM(E$17:E34)=D$10,F34,D$10-SUM(E$17:E34))</f>
        <v>45801.943882626285</v>
      </c>
      <c r="E35" s="484">
        <f>IF(+I14&lt;F34,I14,D35)</f>
        <v>1727.4047619047619</v>
      </c>
      <c r="F35" s="485">
        <f t="shared" si="16"/>
        <v>44074.539120721522</v>
      </c>
      <c r="G35" s="486">
        <f t="shared" si="17"/>
        <v>6479.1357328902068</v>
      </c>
      <c r="H35" s="455">
        <f t="shared" si="18"/>
        <v>6479.1357328902068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4"/>
        <v/>
      </c>
      <c r="C36" s="472">
        <f>IF(D11="","-",+C35+1)</f>
        <v>2026</v>
      </c>
      <c r="D36" s="485">
        <f>IF(F35+SUM(E$17:E35)=D$10,F35,D$10-SUM(E$17:E35))</f>
        <v>44074.539120721522</v>
      </c>
      <c r="E36" s="484">
        <f>IF(+I14&lt;F35,I14,D36)</f>
        <v>1727.4047619047619</v>
      </c>
      <c r="F36" s="485">
        <f t="shared" si="16"/>
        <v>42347.134358816758</v>
      </c>
      <c r="G36" s="486">
        <f t="shared" si="17"/>
        <v>6292.902073495874</v>
      </c>
      <c r="H36" s="455">
        <f t="shared" si="18"/>
        <v>6292.902073495874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4"/>
        <v/>
      </c>
      <c r="C37" s="472">
        <f>IF(D11="","-",+C36+1)</f>
        <v>2027</v>
      </c>
      <c r="D37" s="485">
        <f>IF(F36+SUM(E$17:E36)=D$10,F36,D$10-SUM(E$17:E36))</f>
        <v>42347.134358816758</v>
      </c>
      <c r="E37" s="484">
        <f>IF(+I14&lt;F36,I14,D37)</f>
        <v>1727.4047619047619</v>
      </c>
      <c r="F37" s="485">
        <f t="shared" si="16"/>
        <v>40619.729596911995</v>
      </c>
      <c r="G37" s="486">
        <f t="shared" si="17"/>
        <v>6106.668414101543</v>
      </c>
      <c r="H37" s="455">
        <f t="shared" si="18"/>
        <v>6106.668414101543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4"/>
        <v/>
      </c>
      <c r="C38" s="472">
        <f>IF(D11="","-",+C37+1)</f>
        <v>2028</v>
      </c>
      <c r="D38" s="485">
        <f>IF(F37+SUM(E$17:E37)=D$10,F37,D$10-SUM(E$17:E37))</f>
        <v>40619.729596911995</v>
      </c>
      <c r="E38" s="484">
        <f>IF(+I14&lt;F37,I14,D38)</f>
        <v>1727.4047619047619</v>
      </c>
      <c r="F38" s="485">
        <f t="shared" si="16"/>
        <v>38892.324835007232</v>
      </c>
      <c r="G38" s="486">
        <f t="shared" si="17"/>
        <v>5920.4347547072121</v>
      </c>
      <c r="H38" s="455">
        <f t="shared" si="18"/>
        <v>5920.4347547072121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4"/>
        <v/>
      </c>
      <c r="C39" s="472">
        <f>IF(D11="","-",+C38+1)</f>
        <v>2029</v>
      </c>
      <c r="D39" s="485">
        <f>IF(F38+SUM(E$17:E38)=D$10,F38,D$10-SUM(E$17:E38))</f>
        <v>38892.324835007232</v>
      </c>
      <c r="E39" s="484">
        <f>IF(+I14&lt;F38,I14,D39)</f>
        <v>1727.4047619047619</v>
      </c>
      <c r="F39" s="485">
        <f t="shared" si="16"/>
        <v>37164.920073102468</v>
      </c>
      <c r="G39" s="486">
        <f t="shared" si="17"/>
        <v>5734.2010953128793</v>
      </c>
      <c r="H39" s="455">
        <f t="shared" si="18"/>
        <v>5734.2010953128793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4"/>
        <v/>
      </c>
      <c r="C40" s="472">
        <f>IF(D11="","-",+C39+1)</f>
        <v>2030</v>
      </c>
      <c r="D40" s="485">
        <f>IF(F39+SUM(E$17:E39)=D$10,F39,D$10-SUM(E$17:E39))</f>
        <v>37164.920073102468</v>
      </c>
      <c r="E40" s="484">
        <f>IF(+I14&lt;F39,I14,D40)</f>
        <v>1727.4047619047619</v>
      </c>
      <c r="F40" s="485">
        <f t="shared" si="16"/>
        <v>35437.515311197705</v>
      </c>
      <c r="G40" s="486">
        <f t="shared" si="17"/>
        <v>5547.9674359185483</v>
      </c>
      <c r="H40" s="455">
        <f t="shared" si="18"/>
        <v>5547.9674359185483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4"/>
        <v/>
      </c>
      <c r="C41" s="472">
        <f>IF(D11="","-",+C40+1)</f>
        <v>2031</v>
      </c>
      <c r="D41" s="485">
        <f>IF(F40+SUM(E$17:E40)=D$10,F40,D$10-SUM(E$17:E40))</f>
        <v>35437.515311197705</v>
      </c>
      <c r="E41" s="484">
        <f>IF(+I14&lt;F40,I14,D41)</f>
        <v>1727.4047619047619</v>
      </c>
      <c r="F41" s="485">
        <f t="shared" si="16"/>
        <v>33710.110549292942</v>
      </c>
      <c r="G41" s="486">
        <f t="shared" si="17"/>
        <v>5361.7337765242155</v>
      </c>
      <c r="H41" s="455">
        <f t="shared" si="18"/>
        <v>5361.7337765242155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4"/>
        <v/>
      </c>
      <c r="C42" s="472">
        <f>IF(D11="","-",+C41+1)</f>
        <v>2032</v>
      </c>
      <c r="D42" s="485">
        <f>IF(F41+SUM(E$17:E41)=D$10,F41,D$10-SUM(E$17:E41))</f>
        <v>33710.110549292942</v>
      </c>
      <c r="E42" s="484">
        <f>IF(+I14&lt;F41,I14,D42)</f>
        <v>1727.4047619047619</v>
      </c>
      <c r="F42" s="485">
        <f t="shared" si="16"/>
        <v>31982.705787388179</v>
      </c>
      <c r="G42" s="486">
        <f t="shared" si="17"/>
        <v>5175.5001171298845</v>
      </c>
      <c r="H42" s="455">
        <f t="shared" si="18"/>
        <v>5175.5001171298845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4"/>
        <v/>
      </c>
      <c r="C43" s="472">
        <f>IF(D11="","-",+C42+1)</f>
        <v>2033</v>
      </c>
      <c r="D43" s="485">
        <f>IF(F42+SUM(E$17:E42)=D$10,F42,D$10-SUM(E$17:E42))</f>
        <v>31982.705787388179</v>
      </c>
      <c r="E43" s="484">
        <f>IF(+I14&lt;F42,I14,D43)</f>
        <v>1727.4047619047619</v>
      </c>
      <c r="F43" s="485">
        <f t="shared" si="16"/>
        <v>30255.301025483415</v>
      </c>
      <c r="G43" s="486">
        <f t="shared" si="17"/>
        <v>4989.2664577355526</v>
      </c>
      <c r="H43" s="455">
        <f t="shared" si="18"/>
        <v>4989.2664577355526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4"/>
        <v/>
      </c>
      <c r="C44" s="472">
        <f>IF(D11="","-",+C43+1)</f>
        <v>2034</v>
      </c>
      <c r="D44" s="485">
        <f>IF(F43+SUM(E$17:E43)=D$10,F43,D$10-SUM(E$17:E43))</f>
        <v>30255.301025483415</v>
      </c>
      <c r="E44" s="484">
        <f>IF(+I14&lt;F43,I14,D44)</f>
        <v>1727.4047619047619</v>
      </c>
      <c r="F44" s="485">
        <f t="shared" si="16"/>
        <v>28527.896263578652</v>
      </c>
      <c r="G44" s="486">
        <f t="shared" si="17"/>
        <v>4803.0327983412208</v>
      </c>
      <c r="H44" s="455">
        <f t="shared" si="18"/>
        <v>4803.0327983412208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4"/>
        <v/>
      </c>
      <c r="C45" s="472">
        <f>IF(D11="","-",+C44+1)</f>
        <v>2035</v>
      </c>
      <c r="D45" s="485">
        <f>IF(F44+SUM(E$17:E44)=D$10,F44,D$10-SUM(E$17:E44))</f>
        <v>28527.896263578652</v>
      </c>
      <c r="E45" s="484">
        <f>IF(+I14&lt;F44,I14,D45)</f>
        <v>1727.4047619047619</v>
      </c>
      <c r="F45" s="485">
        <f t="shared" si="16"/>
        <v>26800.491501673889</v>
      </c>
      <c r="G45" s="486">
        <f t="shared" si="17"/>
        <v>4616.7991389468889</v>
      </c>
      <c r="H45" s="455">
        <f t="shared" si="18"/>
        <v>4616.7991389468889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4"/>
        <v/>
      </c>
      <c r="C46" s="472">
        <f>IF(D11="","-",+C45+1)</f>
        <v>2036</v>
      </c>
      <c r="D46" s="485">
        <f>IF(F45+SUM(E$17:E45)=D$10,F45,D$10-SUM(E$17:E45))</f>
        <v>26800.491501673889</v>
      </c>
      <c r="E46" s="484">
        <f>IF(+I14&lt;F45,I14,D46)</f>
        <v>1727.4047619047619</v>
      </c>
      <c r="F46" s="485">
        <f t="shared" si="16"/>
        <v>25073.086739769125</v>
      </c>
      <c r="G46" s="486">
        <f t="shared" si="17"/>
        <v>4430.565479552557</v>
      </c>
      <c r="H46" s="455">
        <f t="shared" si="18"/>
        <v>4430.565479552557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4"/>
        <v/>
      </c>
      <c r="C47" s="472">
        <f>IF(D11="","-",+C46+1)</f>
        <v>2037</v>
      </c>
      <c r="D47" s="485">
        <f>IF(F46+SUM(E$17:E46)=D$10,F46,D$10-SUM(E$17:E46))</f>
        <v>25073.086739769125</v>
      </c>
      <c r="E47" s="484">
        <f>IF(+I14&lt;F46,I14,D47)</f>
        <v>1727.4047619047619</v>
      </c>
      <c r="F47" s="485">
        <f t="shared" si="16"/>
        <v>23345.681977864362</v>
      </c>
      <c r="G47" s="486">
        <f t="shared" si="17"/>
        <v>4244.331820158226</v>
      </c>
      <c r="H47" s="455">
        <f t="shared" si="18"/>
        <v>4244.331820158226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4"/>
        <v/>
      </c>
      <c r="C48" s="472">
        <f>IF(D11="","-",+C47+1)</f>
        <v>2038</v>
      </c>
      <c r="D48" s="485">
        <f>IF(F47+SUM(E$17:E47)=D$10,F47,D$10-SUM(E$17:E47))</f>
        <v>23345.681977864362</v>
      </c>
      <c r="E48" s="484">
        <f>IF(+I14&lt;F47,I14,D48)</f>
        <v>1727.4047619047619</v>
      </c>
      <c r="F48" s="485">
        <f t="shared" si="16"/>
        <v>21618.277215959599</v>
      </c>
      <c r="G48" s="486">
        <f t="shared" si="17"/>
        <v>4058.0981607638937</v>
      </c>
      <c r="H48" s="455">
        <f t="shared" si="18"/>
        <v>4058.0981607638937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4"/>
        <v/>
      </c>
      <c r="C49" s="472">
        <f>IF(D11="","-",+C48+1)</f>
        <v>2039</v>
      </c>
      <c r="D49" s="485">
        <f>IF(F48+SUM(E$17:E48)=D$10,F48,D$10-SUM(E$17:E48))</f>
        <v>21618.277215959599</v>
      </c>
      <c r="E49" s="484">
        <f>IF(+I14&lt;F48,I14,D49)</f>
        <v>1727.4047619047619</v>
      </c>
      <c r="F49" s="485">
        <f t="shared" ref="F49:F72" si="19">+D49-E49</f>
        <v>19890.872454054836</v>
      </c>
      <c r="G49" s="486">
        <f t="shared" si="17"/>
        <v>3871.8645013695623</v>
      </c>
      <c r="H49" s="455">
        <f t="shared" si="18"/>
        <v>3871.8645013695623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2"/>
    </row>
    <row r="50" spans="2:16">
      <c r="B50" s="160" t="str">
        <f t="shared" si="4"/>
        <v/>
      </c>
      <c r="C50" s="472">
        <f>IF(D11="","-",+C49+1)</f>
        <v>2040</v>
      </c>
      <c r="D50" s="485">
        <f>IF(F49+SUM(E$17:E49)=D$10,F49,D$10-SUM(E$17:E49))</f>
        <v>19890.872454054836</v>
      </c>
      <c r="E50" s="484">
        <f>IF(+I14&lt;F49,I14,D50)</f>
        <v>1727.4047619047619</v>
      </c>
      <c r="F50" s="485">
        <f t="shared" si="19"/>
        <v>18163.467692150072</v>
      </c>
      <c r="G50" s="486">
        <f t="shared" si="17"/>
        <v>3685.6308419752304</v>
      </c>
      <c r="H50" s="455">
        <f t="shared" si="18"/>
        <v>3685.6308419752304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>
      <c r="B51" s="160" t="str">
        <f t="shared" si="4"/>
        <v/>
      </c>
      <c r="C51" s="472">
        <f>IF(D11="","-",+C50+1)</f>
        <v>2041</v>
      </c>
      <c r="D51" s="485">
        <f>IF(F50+SUM(E$17:E50)=D$10,F50,D$10-SUM(E$17:E50))</f>
        <v>18163.467692150072</v>
      </c>
      <c r="E51" s="484">
        <f>IF(+I14&lt;F50,I14,D51)</f>
        <v>1727.4047619047619</v>
      </c>
      <c r="F51" s="485">
        <f t="shared" si="19"/>
        <v>16436.062930245309</v>
      </c>
      <c r="G51" s="486">
        <f t="shared" si="17"/>
        <v>3499.3971825808985</v>
      </c>
      <c r="H51" s="455">
        <f t="shared" si="18"/>
        <v>3499.3971825808985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>
      <c r="B52" s="160" t="str">
        <f t="shared" si="4"/>
        <v/>
      </c>
      <c r="C52" s="472">
        <f>IF(D11="","-",+C51+1)</f>
        <v>2042</v>
      </c>
      <c r="D52" s="485">
        <f>IF(F51+SUM(E$17:E51)=D$10,F51,D$10-SUM(E$17:E51))</f>
        <v>16436.062930245309</v>
      </c>
      <c r="E52" s="484">
        <f>IF(+I14&lt;F51,I14,D52)</f>
        <v>1727.4047619047619</v>
      </c>
      <c r="F52" s="485">
        <f t="shared" si="19"/>
        <v>14708.658168340547</v>
      </c>
      <c r="G52" s="486">
        <f t="shared" si="17"/>
        <v>3313.1635231865671</v>
      </c>
      <c r="H52" s="455">
        <f t="shared" si="18"/>
        <v>3313.1635231865671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>
      <c r="B53" s="160" t="str">
        <f t="shared" si="4"/>
        <v/>
      </c>
      <c r="C53" s="472">
        <f>IF(D11="","-",+C52+1)</f>
        <v>2043</v>
      </c>
      <c r="D53" s="485">
        <f>IF(F52+SUM(E$17:E52)=D$10,F52,D$10-SUM(E$17:E52))</f>
        <v>14708.658168340547</v>
      </c>
      <c r="E53" s="484">
        <f>IF(+I14&lt;F52,I14,D53)</f>
        <v>1727.4047619047619</v>
      </c>
      <c r="F53" s="485">
        <f t="shared" si="19"/>
        <v>12981.253406435786</v>
      </c>
      <c r="G53" s="486">
        <f t="shared" si="17"/>
        <v>3126.9298637922357</v>
      </c>
      <c r="H53" s="455">
        <f t="shared" si="18"/>
        <v>3126.9298637922357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>
      <c r="B54" s="160" t="str">
        <f t="shared" si="4"/>
        <v/>
      </c>
      <c r="C54" s="472">
        <f>IF(D11="","-",+C53+1)</f>
        <v>2044</v>
      </c>
      <c r="D54" s="485">
        <f>IF(F53+SUM(E$17:E53)=D$10,F53,D$10-SUM(E$17:E53))</f>
        <v>12981.253406435786</v>
      </c>
      <c r="E54" s="484">
        <f>IF(+I14&lt;F53,I14,D54)</f>
        <v>1727.4047619047619</v>
      </c>
      <c r="F54" s="485">
        <f t="shared" si="19"/>
        <v>11253.848644531025</v>
      </c>
      <c r="G54" s="486">
        <f t="shared" si="17"/>
        <v>2940.6962043979038</v>
      </c>
      <c r="H54" s="455">
        <f t="shared" si="18"/>
        <v>2940.6962043979038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>
      <c r="B55" s="160" t="str">
        <f t="shared" si="4"/>
        <v/>
      </c>
      <c r="C55" s="472">
        <f>IF(D11="","-",+C54+1)</f>
        <v>2045</v>
      </c>
      <c r="D55" s="485">
        <f>IF(F54+SUM(E$17:E54)=D$10,F54,D$10-SUM(E$17:E54))</f>
        <v>11253.848644531025</v>
      </c>
      <c r="E55" s="484">
        <f>IF(+I14&lt;F54,I14,D55)</f>
        <v>1727.4047619047619</v>
      </c>
      <c r="F55" s="485">
        <f t="shared" si="19"/>
        <v>9526.4438826262631</v>
      </c>
      <c r="G55" s="486">
        <f t="shared" si="17"/>
        <v>2754.4625450035724</v>
      </c>
      <c r="H55" s="455">
        <f t="shared" si="18"/>
        <v>2754.4625450035724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>
      <c r="B56" s="160" t="str">
        <f t="shared" si="4"/>
        <v/>
      </c>
      <c r="C56" s="472">
        <f>IF(D11="","-",+C55+1)</f>
        <v>2046</v>
      </c>
      <c r="D56" s="485">
        <f>IF(F55+SUM(E$17:E55)=D$10,F55,D$10-SUM(E$17:E55))</f>
        <v>9526.4438826262631</v>
      </c>
      <c r="E56" s="484">
        <f>IF(+I14&lt;F55,I14,D56)</f>
        <v>1727.4047619047619</v>
      </c>
      <c r="F56" s="485">
        <f t="shared" si="19"/>
        <v>7799.0391207215016</v>
      </c>
      <c r="G56" s="486">
        <f t="shared" si="17"/>
        <v>2568.2288856092409</v>
      </c>
      <c r="H56" s="455">
        <f t="shared" si="18"/>
        <v>2568.2288856092409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>
      <c r="B57" s="160" t="str">
        <f t="shared" si="4"/>
        <v/>
      </c>
      <c r="C57" s="472">
        <f>IF(D11="","-",+C56+1)</f>
        <v>2047</v>
      </c>
      <c r="D57" s="485">
        <f>IF(F56+SUM(E$17:E56)=D$10,F56,D$10-SUM(E$17:E56))</f>
        <v>7799.0391207215016</v>
      </c>
      <c r="E57" s="484">
        <f>IF(+I14&lt;F56,I14,D57)</f>
        <v>1727.4047619047619</v>
      </c>
      <c r="F57" s="485">
        <f t="shared" si="19"/>
        <v>6071.6343588167401</v>
      </c>
      <c r="G57" s="486">
        <f t="shared" si="17"/>
        <v>2381.9952262149091</v>
      </c>
      <c r="H57" s="455">
        <f t="shared" si="18"/>
        <v>2381.9952262149091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>
      <c r="B58" s="160" t="str">
        <f t="shared" si="4"/>
        <v/>
      </c>
      <c r="C58" s="472">
        <f>IF(D11="","-",+C57+1)</f>
        <v>2048</v>
      </c>
      <c r="D58" s="485">
        <f>IF(F57+SUM(E$17:E57)=D$10,F57,D$10-SUM(E$17:E57))</f>
        <v>6071.6343588167401</v>
      </c>
      <c r="E58" s="484">
        <f>IF(+I14&lt;F57,I14,D58)</f>
        <v>1727.4047619047619</v>
      </c>
      <c r="F58" s="485">
        <f t="shared" si="19"/>
        <v>4344.2295969119787</v>
      </c>
      <c r="G58" s="486">
        <f t="shared" si="17"/>
        <v>2195.7615668205776</v>
      </c>
      <c r="H58" s="455">
        <f t="shared" si="18"/>
        <v>2195.7615668205776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>
      <c r="B59" s="160" t="str">
        <f t="shared" si="4"/>
        <v/>
      </c>
      <c r="C59" s="472">
        <f>IF(D11="","-",+C58+1)</f>
        <v>2049</v>
      </c>
      <c r="D59" s="485">
        <f>IF(F58+SUM(E$17:E58)=D$10,F58,D$10-SUM(E$17:E58))</f>
        <v>4344.2295969119787</v>
      </c>
      <c r="E59" s="484">
        <f>IF(+I14&lt;F58,I14,D59)</f>
        <v>1727.4047619047619</v>
      </c>
      <c r="F59" s="485">
        <f t="shared" si="19"/>
        <v>2616.8248350072167</v>
      </c>
      <c r="G59" s="486">
        <f t="shared" si="17"/>
        <v>2009.5279074262462</v>
      </c>
      <c r="H59" s="455">
        <f t="shared" si="18"/>
        <v>2009.5279074262462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>
      <c r="B60" s="160" t="str">
        <f t="shared" si="4"/>
        <v/>
      </c>
      <c r="C60" s="472">
        <f>IF(D11="","-",+C59+1)</f>
        <v>2050</v>
      </c>
      <c r="D60" s="485">
        <f>IF(F59+SUM(E$17:E59)=D$10,F59,D$10-SUM(E$17:E59))</f>
        <v>2616.8248350072167</v>
      </c>
      <c r="E60" s="484">
        <f>IF(+I14&lt;F59,I14,D60)</f>
        <v>1727.4047619047619</v>
      </c>
      <c r="F60" s="485">
        <f t="shared" si="19"/>
        <v>889.42007310245481</v>
      </c>
      <c r="G60" s="486">
        <f t="shared" si="17"/>
        <v>1823.2942480319145</v>
      </c>
      <c r="H60" s="455">
        <f t="shared" si="18"/>
        <v>1823.2942480319145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>
      <c r="B61" s="160" t="str">
        <f t="shared" si="4"/>
        <v/>
      </c>
      <c r="C61" s="472">
        <f>IF(D11="","-",+C60+1)</f>
        <v>2051</v>
      </c>
      <c r="D61" s="485">
        <f>IF(F60+SUM(E$17:E60)=D$10,F60,D$10-SUM(E$17:E60))</f>
        <v>889.42007310245481</v>
      </c>
      <c r="E61" s="484">
        <f>IF(+I14&lt;F60,I14,D61)</f>
        <v>889.42007310245481</v>
      </c>
      <c r="F61" s="485">
        <f t="shared" si="19"/>
        <v>0</v>
      </c>
      <c r="G61" s="488">
        <f t="shared" si="17"/>
        <v>889.42007310245481</v>
      </c>
      <c r="H61" s="455">
        <f t="shared" si="18"/>
        <v>889.42007310245481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>
      <c r="B62" s="160" t="str">
        <f t="shared" si="4"/>
        <v/>
      </c>
      <c r="C62" s="472">
        <f>IF(D11="","-",+C61+1)</f>
        <v>2052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9"/>
        <v>0</v>
      </c>
      <c r="G62" s="488">
        <f t="shared" si="17"/>
        <v>0</v>
      </c>
      <c r="H62" s="455">
        <f t="shared" si="18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>
      <c r="B63" s="160" t="str">
        <f t="shared" si="4"/>
        <v/>
      </c>
      <c r="C63" s="472">
        <f>IF(D11="","-",+C62+1)</f>
        <v>2053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9"/>
        <v>0</v>
      </c>
      <c r="G63" s="488">
        <f t="shared" si="17"/>
        <v>0</v>
      </c>
      <c r="H63" s="455">
        <f t="shared" si="18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>
      <c r="B64" s="160" t="str">
        <f t="shared" si="4"/>
        <v/>
      </c>
      <c r="C64" s="472">
        <f>IF(D11="","-",+C63+1)</f>
        <v>2054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8">
        <f t="shared" si="17"/>
        <v>0</v>
      </c>
      <c r="H64" s="455">
        <f t="shared" si="18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>
      <c r="B65" s="160" t="str">
        <f t="shared" si="4"/>
        <v/>
      </c>
      <c r="C65" s="472">
        <f>IF(D11="","-",+C64+1)</f>
        <v>2055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8">
        <f t="shared" si="17"/>
        <v>0</v>
      </c>
      <c r="H65" s="455">
        <f t="shared" si="18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>
      <c r="B66" s="160" t="str">
        <f t="shared" si="4"/>
        <v/>
      </c>
      <c r="C66" s="472">
        <f>IF(D11="","-",+C65+1)</f>
        <v>2056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8">
        <f t="shared" si="17"/>
        <v>0</v>
      </c>
      <c r="H66" s="455">
        <f t="shared" si="18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>
      <c r="B67" s="160" t="str">
        <f t="shared" si="4"/>
        <v/>
      </c>
      <c r="C67" s="472">
        <f>IF(D11="","-",+C66+1)</f>
        <v>2057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8">
        <f t="shared" si="17"/>
        <v>0</v>
      </c>
      <c r="H67" s="455">
        <f t="shared" si="18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>
      <c r="B68" s="160" t="str">
        <f t="shared" si="4"/>
        <v/>
      </c>
      <c r="C68" s="472">
        <f>IF(D11="","-",+C67+1)</f>
        <v>2058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8">
        <f t="shared" si="17"/>
        <v>0</v>
      </c>
      <c r="H68" s="455">
        <f t="shared" si="18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>
      <c r="B69" s="160" t="str">
        <f t="shared" si="4"/>
        <v/>
      </c>
      <c r="C69" s="472">
        <f>IF(D11="","-",+C68+1)</f>
        <v>2059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8">
        <f t="shared" si="17"/>
        <v>0</v>
      </c>
      <c r="H69" s="455">
        <f t="shared" si="18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>
      <c r="B70" s="160" t="str">
        <f t="shared" si="4"/>
        <v/>
      </c>
      <c r="C70" s="472">
        <f>IF(D11="","-",+C69+1)</f>
        <v>2060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8">
        <f t="shared" si="17"/>
        <v>0</v>
      </c>
      <c r="H70" s="455">
        <f t="shared" si="18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>
      <c r="B71" s="160" t="str">
        <f t="shared" si="4"/>
        <v/>
      </c>
      <c r="C71" s="472">
        <f>IF(D11="","-",+C70+1)</f>
        <v>2061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8">
        <f t="shared" si="17"/>
        <v>0</v>
      </c>
      <c r="H71" s="455">
        <f t="shared" si="18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.5" thickBot="1">
      <c r="B72" s="160" t="str">
        <f t="shared" si="4"/>
        <v/>
      </c>
      <c r="C72" s="489">
        <f>IF(D11="","-",+C71+1)</f>
        <v>2062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2">
        <f t="shared" si="17"/>
        <v>0</v>
      </c>
      <c r="H72" s="435">
        <f t="shared" si="18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>
      <c r="C73" s="346" t="s">
        <v>77</v>
      </c>
      <c r="D73" s="347"/>
      <c r="E73" s="347">
        <f>SUM(E17:E72)</f>
        <v>72551.000000000015</v>
      </c>
      <c r="F73" s="347"/>
      <c r="G73" s="347">
        <f>SUM(G17:G72)</f>
        <v>276114.01776697766</v>
      </c>
      <c r="H73" s="347">
        <f>SUM(H17:H72)</f>
        <v>276114.01776697766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9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7531.2168125199005</v>
      </c>
      <c r="N87" s="508">
        <f>IF(J92&lt;D11,0,VLOOKUP(J92,C17:O72,11))</f>
        <v>7531.2168125199005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7916.9139971406776</v>
      </c>
      <c r="N88" s="512">
        <f>IF(J92&lt;D11,0,VLOOKUP(J92,C99:P154,7))</f>
        <v>7916.9139971406776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Upgrade (repl switches)*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385.69718462077708</v>
      </c>
      <c r="N89" s="517">
        <f>+N88-N87</f>
        <v>385.69718462077708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TP2004033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72551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1727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2007</v>
      </c>
      <c r="D99" s="473">
        <v>0</v>
      </c>
      <c r="E99" s="480">
        <v>0</v>
      </c>
      <c r="F99" s="479">
        <v>72551</v>
      </c>
      <c r="G99" s="537">
        <v>36276</v>
      </c>
      <c r="H99" s="538">
        <v>5762</v>
      </c>
      <c r="I99" s="539">
        <v>5762</v>
      </c>
      <c r="J99" s="478">
        <f t="shared" ref="J99:J130" si="24">+I99-H99</f>
        <v>0</v>
      </c>
      <c r="K99" s="478"/>
      <c r="L99" s="554">
        <v>0</v>
      </c>
      <c r="M99" s="477">
        <f t="shared" ref="M99:M130" si="25">IF(L99&lt;&gt;0,+H99-L99,0)</f>
        <v>0</v>
      </c>
      <c r="N99" s="554">
        <v>0</v>
      </c>
      <c r="O99" s="477">
        <f t="shared" ref="O99:O130" si="26">IF(N99&lt;&gt;0,+I99-N99,0)</f>
        <v>0</v>
      </c>
      <c r="P99" s="477">
        <f t="shared" ref="P99:P130" si="27">+O99-M99</f>
        <v>0</v>
      </c>
    </row>
    <row r="100" spans="1:16">
      <c r="B100" s="160" t="str">
        <f>IF(D100=F99,"","IU")</f>
        <v/>
      </c>
      <c r="C100" s="472">
        <f>IF(D93="","-",+C99+1)</f>
        <v>2008</v>
      </c>
      <c r="D100" s="473">
        <v>72551</v>
      </c>
      <c r="E100" s="561">
        <v>1369</v>
      </c>
      <c r="F100" s="479">
        <v>71182</v>
      </c>
      <c r="G100" s="479">
        <v>71867</v>
      </c>
      <c r="H100" s="480">
        <v>12785</v>
      </c>
      <c r="I100" s="481">
        <v>12785</v>
      </c>
      <c r="J100" s="478">
        <f t="shared" si="24"/>
        <v>0</v>
      </c>
      <c r="K100" s="478"/>
      <c r="L100" s="476">
        <v>12785</v>
      </c>
      <c r="M100" s="478">
        <f t="shared" si="25"/>
        <v>0</v>
      </c>
      <c r="N100" s="476">
        <v>12785</v>
      </c>
      <c r="O100" s="478">
        <f t="shared" si="26"/>
        <v>0</v>
      </c>
      <c r="P100" s="478">
        <f t="shared" si="27"/>
        <v>0</v>
      </c>
    </row>
    <row r="101" spans="1:16">
      <c r="B101" s="160" t="str">
        <f t="shared" ref="B101:B154" si="28">IF(D101=F100,"","IU")</f>
        <v/>
      </c>
      <c r="C101" s="472">
        <f>IF(D93="","-",+C100+1)</f>
        <v>2009</v>
      </c>
      <c r="D101" s="473">
        <v>71182</v>
      </c>
      <c r="E101" s="480">
        <v>1296</v>
      </c>
      <c r="F101" s="479">
        <v>69886</v>
      </c>
      <c r="G101" s="479">
        <v>70534</v>
      </c>
      <c r="H101" s="480">
        <v>11608.65494705257</v>
      </c>
      <c r="I101" s="481">
        <v>11608.65494705257</v>
      </c>
      <c r="J101" s="478">
        <f t="shared" si="24"/>
        <v>0</v>
      </c>
      <c r="K101" s="478"/>
      <c r="L101" s="540">
        <f t="shared" ref="L101:L106" si="29">H101</f>
        <v>11608.65494705257</v>
      </c>
      <c r="M101" s="541">
        <f t="shared" si="25"/>
        <v>0</v>
      </c>
      <c r="N101" s="540">
        <f t="shared" ref="N101:N106" si="30">I101</f>
        <v>11608.65494705257</v>
      </c>
      <c r="O101" s="478">
        <f t="shared" si="26"/>
        <v>0</v>
      </c>
      <c r="P101" s="478">
        <f t="shared" si="27"/>
        <v>0</v>
      </c>
    </row>
    <row r="102" spans="1:16">
      <c r="B102" s="160" t="str">
        <f t="shared" si="28"/>
        <v/>
      </c>
      <c r="C102" s="472">
        <f>IF(D93="","-",+C101+1)</f>
        <v>2010</v>
      </c>
      <c r="D102" s="473">
        <v>69886</v>
      </c>
      <c r="E102" s="480">
        <v>1423</v>
      </c>
      <c r="F102" s="479">
        <v>68463</v>
      </c>
      <c r="G102" s="479">
        <v>69174.5</v>
      </c>
      <c r="H102" s="480">
        <v>12547.312556925655</v>
      </c>
      <c r="I102" s="481">
        <v>12547.312556925655</v>
      </c>
      <c r="J102" s="478">
        <f t="shared" si="24"/>
        <v>0</v>
      </c>
      <c r="K102" s="478"/>
      <c r="L102" s="540">
        <f t="shared" si="29"/>
        <v>12547.312556925655</v>
      </c>
      <c r="M102" s="541">
        <f t="shared" si="25"/>
        <v>0</v>
      </c>
      <c r="N102" s="540">
        <f t="shared" si="30"/>
        <v>12547.312556925655</v>
      </c>
      <c r="O102" s="478">
        <f t="shared" si="26"/>
        <v>0</v>
      </c>
      <c r="P102" s="478">
        <f t="shared" si="27"/>
        <v>0</v>
      </c>
    </row>
    <row r="103" spans="1:16">
      <c r="B103" s="160" t="str">
        <f t="shared" si="28"/>
        <v/>
      </c>
      <c r="C103" s="472">
        <f>IF(D93="","-",+C102+1)</f>
        <v>2011</v>
      </c>
      <c r="D103" s="473">
        <v>68463</v>
      </c>
      <c r="E103" s="480">
        <v>1395</v>
      </c>
      <c r="F103" s="479">
        <v>67068</v>
      </c>
      <c r="G103" s="479">
        <v>67765.5</v>
      </c>
      <c r="H103" s="480">
        <v>10869.52752826227</v>
      </c>
      <c r="I103" s="481">
        <v>10869.52752826227</v>
      </c>
      <c r="J103" s="478">
        <f t="shared" si="24"/>
        <v>0</v>
      </c>
      <c r="K103" s="478"/>
      <c r="L103" s="540">
        <f t="shared" si="29"/>
        <v>10869.52752826227</v>
      </c>
      <c r="M103" s="541">
        <f t="shared" si="25"/>
        <v>0</v>
      </c>
      <c r="N103" s="540">
        <f t="shared" si="30"/>
        <v>10869.52752826227</v>
      </c>
      <c r="O103" s="478">
        <f t="shared" si="26"/>
        <v>0</v>
      </c>
      <c r="P103" s="478">
        <f t="shared" si="27"/>
        <v>0</v>
      </c>
    </row>
    <row r="104" spans="1:16">
      <c r="B104" s="160" t="str">
        <f t="shared" si="28"/>
        <v/>
      </c>
      <c r="C104" s="472">
        <f>IF(D93="","-",+C103+1)</f>
        <v>2012</v>
      </c>
      <c r="D104" s="473">
        <v>67068</v>
      </c>
      <c r="E104" s="480">
        <v>1395</v>
      </c>
      <c r="F104" s="479">
        <v>65673</v>
      </c>
      <c r="G104" s="479">
        <v>66370.5</v>
      </c>
      <c r="H104" s="480">
        <v>10942.760254640152</v>
      </c>
      <c r="I104" s="481">
        <v>10942.760254640152</v>
      </c>
      <c r="J104" s="478">
        <v>0</v>
      </c>
      <c r="K104" s="478"/>
      <c r="L104" s="540">
        <f t="shared" si="29"/>
        <v>10942.760254640152</v>
      </c>
      <c r="M104" s="541">
        <f t="shared" ref="M104:M109" si="31">IF(L104&lt;&gt;0,+H104-L104,0)</f>
        <v>0</v>
      </c>
      <c r="N104" s="540">
        <f t="shared" si="30"/>
        <v>10942.760254640152</v>
      </c>
      <c r="O104" s="478">
        <f t="shared" ref="O104:O109" si="32">IF(N104&lt;&gt;0,+I104-N104,0)</f>
        <v>0</v>
      </c>
      <c r="P104" s="478">
        <f t="shared" ref="P104:P109" si="33">+O104-M104</f>
        <v>0</v>
      </c>
    </row>
    <row r="105" spans="1:16">
      <c r="B105" s="160" t="str">
        <f t="shared" si="28"/>
        <v/>
      </c>
      <c r="C105" s="472">
        <f>IF(D93="","-",+C104+1)</f>
        <v>2013</v>
      </c>
      <c r="D105" s="473">
        <v>65673</v>
      </c>
      <c r="E105" s="480">
        <v>1395</v>
      </c>
      <c r="F105" s="479">
        <v>64278</v>
      </c>
      <c r="G105" s="479">
        <v>64975.5</v>
      </c>
      <c r="H105" s="480">
        <v>10747.547086020993</v>
      </c>
      <c r="I105" s="481">
        <v>10747.547086020993</v>
      </c>
      <c r="J105" s="478">
        <v>0</v>
      </c>
      <c r="K105" s="478"/>
      <c r="L105" s="540">
        <f t="shared" si="29"/>
        <v>10747.547086020993</v>
      </c>
      <c r="M105" s="541">
        <f t="shared" si="31"/>
        <v>0</v>
      </c>
      <c r="N105" s="540">
        <f t="shared" si="30"/>
        <v>10747.547086020993</v>
      </c>
      <c r="O105" s="478">
        <f t="shared" si="32"/>
        <v>0</v>
      </c>
      <c r="P105" s="478">
        <f t="shared" si="33"/>
        <v>0</v>
      </c>
    </row>
    <row r="106" spans="1:16">
      <c r="B106" s="160" t="str">
        <f t="shared" si="28"/>
        <v/>
      </c>
      <c r="C106" s="472">
        <f>IF(D93="","-",+C105+1)</f>
        <v>2014</v>
      </c>
      <c r="D106" s="473">
        <v>64278</v>
      </c>
      <c r="E106" s="480">
        <v>1395</v>
      </c>
      <c r="F106" s="479">
        <v>62883</v>
      </c>
      <c r="G106" s="479">
        <v>63580.5</v>
      </c>
      <c r="H106" s="480">
        <v>10334.158398344916</v>
      </c>
      <c r="I106" s="481">
        <v>10334.158398344916</v>
      </c>
      <c r="J106" s="478">
        <v>0</v>
      </c>
      <c r="K106" s="478"/>
      <c r="L106" s="540">
        <f t="shared" si="29"/>
        <v>10334.158398344916</v>
      </c>
      <c r="M106" s="541">
        <f t="shared" si="31"/>
        <v>0</v>
      </c>
      <c r="N106" s="540">
        <f t="shared" si="30"/>
        <v>10334.158398344916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28"/>
        <v/>
      </c>
      <c r="C107" s="472">
        <f>IF(D93="","-",+C106+1)</f>
        <v>2015</v>
      </c>
      <c r="D107" s="473">
        <v>62883</v>
      </c>
      <c r="E107" s="480">
        <v>1395</v>
      </c>
      <c r="F107" s="479">
        <v>61488</v>
      </c>
      <c r="G107" s="479">
        <v>62185.5</v>
      </c>
      <c r="H107" s="480">
        <v>9879.7114789405332</v>
      </c>
      <c r="I107" s="481">
        <v>9879.7114789405332</v>
      </c>
      <c r="J107" s="478">
        <f t="shared" si="24"/>
        <v>0</v>
      </c>
      <c r="K107" s="478"/>
      <c r="L107" s="540">
        <f t="shared" ref="L107:L112" si="34">H107</f>
        <v>9879.7114789405332</v>
      </c>
      <c r="M107" s="541">
        <f t="shared" si="31"/>
        <v>0</v>
      </c>
      <c r="N107" s="540">
        <f t="shared" ref="N107:N112" si="35">I107</f>
        <v>9879.7114789405332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28"/>
        <v/>
      </c>
      <c r="C108" s="472">
        <f>IF(D93="","-",+C107+1)</f>
        <v>2016</v>
      </c>
      <c r="D108" s="473">
        <v>61488</v>
      </c>
      <c r="E108" s="480">
        <v>1577</v>
      </c>
      <c r="F108" s="479">
        <v>59911</v>
      </c>
      <c r="G108" s="479">
        <v>60699.5</v>
      </c>
      <c r="H108" s="480">
        <v>9402.1214987986186</v>
      </c>
      <c r="I108" s="481">
        <v>9402.1214987986186</v>
      </c>
      <c r="J108" s="478">
        <f t="shared" si="24"/>
        <v>0</v>
      </c>
      <c r="K108" s="478"/>
      <c r="L108" s="540">
        <f t="shared" si="34"/>
        <v>9402.1214987986186</v>
      </c>
      <c r="M108" s="541">
        <f t="shared" si="31"/>
        <v>0</v>
      </c>
      <c r="N108" s="540">
        <f t="shared" si="35"/>
        <v>9402.1214987986186</v>
      </c>
      <c r="O108" s="478">
        <f t="shared" si="32"/>
        <v>0</v>
      </c>
      <c r="P108" s="478">
        <f t="shared" si="33"/>
        <v>0</v>
      </c>
    </row>
    <row r="109" spans="1:16">
      <c r="B109" s="160" t="str">
        <f t="shared" si="28"/>
        <v/>
      </c>
      <c r="C109" s="472">
        <f>IF(D93="","-",+C108+1)</f>
        <v>2017</v>
      </c>
      <c r="D109" s="473">
        <v>59911</v>
      </c>
      <c r="E109" s="480">
        <v>1577</v>
      </c>
      <c r="F109" s="479">
        <v>58334</v>
      </c>
      <c r="G109" s="479">
        <v>59122.5</v>
      </c>
      <c r="H109" s="480">
        <v>9076.8382024367129</v>
      </c>
      <c r="I109" s="481">
        <v>9076.8382024367129</v>
      </c>
      <c r="J109" s="478">
        <f t="shared" si="24"/>
        <v>0</v>
      </c>
      <c r="K109" s="478"/>
      <c r="L109" s="540">
        <f t="shared" si="34"/>
        <v>9076.8382024367129</v>
      </c>
      <c r="M109" s="541">
        <f t="shared" si="31"/>
        <v>0</v>
      </c>
      <c r="N109" s="540">
        <f t="shared" si="35"/>
        <v>9076.8382024367129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28"/>
        <v/>
      </c>
      <c r="C110" s="472">
        <f>IF(D93="","-",+C109+1)</f>
        <v>2018</v>
      </c>
      <c r="D110" s="473">
        <v>58334</v>
      </c>
      <c r="E110" s="480">
        <v>1687</v>
      </c>
      <c r="F110" s="479">
        <v>56647</v>
      </c>
      <c r="G110" s="479">
        <v>57490.5</v>
      </c>
      <c r="H110" s="480">
        <v>7593.3191046629281</v>
      </c>
      <c r="I110" s="481">
        <v>7593.3191046629281</v>
      </c>
      <c r="J110" s="478">
        <f t="shared" si="24"/>
        <v>0</v>
      </c>
      <c r="K110" s="478"/>
      <c r="L110" s="540">
        <f t="shared" si="34"/>
        <v>7593.3191046629281</v>
      </c>
      <c r="M110" s="541">
        <f t="shared" ref="M110" si="36">IF(L110&lt;&gt;0,+H110-L110,0)</f>
        <v>0</v>
      </c>
      <c r="N110" s="540">
        <f t="shared" si="35"/>
        <v>7593.3191046629281</v>
      </c>
      <c r="O110" s="478">
        <f t="shared" ref="O110" si="37">IF(N110&lt;&gt;0,+I110-N110,0)</f>
        <v>0</v>
      </c>
      <c r="P110" s="478">
        <f t="shared" ref="P110" si="38">+O110-M110</f>
        <v>0</v>
      </c>
    </row>
    <row r="111" spans="1:16">
      <c r="B111" s="160" t="str">
        <f t="shared" si="28"/>
        <v/>
      </c>
      <c r="C111" s="472">
        <f>IF(D93="","-",+C110+1)</f>
        <v>2019</v>
      </c>
      <c r="D111" s="473">
        <v>56647</v>
      </c>
      <c r="E111" s="480">
        <v>1770</v>
      </c>
      <c r="F111" s="479">
        <v>54877</v>
      </c>
      <c r="G111" s="479">
        <v>55762</v>
      </c>
      <c r="H111" s="480">
        <v>7519.8443223081076</v>
      </c>
      <c r="I111" s="481">
        <v>7519.8443223081076</v>
      </c>
      <c r="J111" s="478">
        <f t="shared" si="24"/>
        <v>0</v>
      </c>
      <c r="K111" s="478"/>
      <c r="L111" s="540">
        <f t="shared" si="34"/>
        <v>7519.8443223081076</v>
      </c>
      <c r="M111" s="541">
        <f t="shared" ref="M111:M112" si="39">IF(L111&lt;&gt;0,+H111-L111,0)</f>
        <v>0</v>
      </c>
      <c r="N111" s="540">
        <f t="shared" si="35"/>
        <v>7519.8443223081076</v>
      </c>
      <c r="O111" s="478">
        <f t="shared" si="26"/>
        <v>0</v>
      </c>
      <c r="P111" s="478">
        <f t="shared" si="27"/>
        <v>0</v>
      </c>
    </row>
    <row r="112" spans="1:16">
      <c r="B112" s="160" t="str">
        <f t="shared" si="28"/>
        <v/>
      </c>
      <c r="C112" s="472">
        <f>IF(D93="","-",+C111+1)</f>
        <v>2020</v>
      </c>
      <c r="D112" s="473">
        <v>54877</v>
      </c>
      <c r="E112" s="480">
        <v>1687</v>
      </c>
      <c r="F112" s="479">
        <v>53190</v>
      </c>
      <c r="G112" s="479">
        <v>54033.5</v>
      </c>
      <c r="H112" s="480">
        <v>7916.9139971406776</v>
      </c>
      <c r="I112" s="481">
        <v>7916.9139971406776</v>
      </c>
      <c r="J112" s="478">
        <f t="shared" si="24"/>
        <v>0</v>
      </c>
      <c r="K112" s="478"/>
      <c r="L112" s="540">
        <f t="shared" si="34"/>
        <v>7916.9139971406776</v>
      </c>
      <c r="M112" s="541">
        <f t="shared" si="39"/>
        <v>0</v>
      </c>
      <c r="N112" s="540">
        <f t="shared" si="35"/>
        <v>7916.9139971406776</v>
      </c>
      <c r="O112" s="478">
        <f t="shared" si="26"/>
        <v>0</v>
      </c>
      <c r="P112" s="478">
        <f t="shared" si="27"/>
        <v>0</v>
      </c>
    </row>
    <row r="113" spans="2:16">
      <c r="B113" s="160" t="str">
        <f t="shared" si="28"/>
        <v/>
      </c>
      <c r="C113" s="472">
        <f>IF(D93="","-",+C112+1)</f>
        <v>2021</v>
      </c>
      <c r="D113" s="346">
        <f>IF(F112+SUM(E$99:E112)=D$92,F112,D$92-SUM(E$99:E112))</f>
        <v>53190</v>
      </c>
      <c r="E113" s="486">
        <f>IF(+J96&lt;F112,J96,D113)</f>
        <v>1727</v>
      </c>
      <c r="F113" s="485">
        <f t="shared" ref="F113:F154" si="40">+D113-E113</f>
        <v>51463</v>
      </c>
      <c r="G113" s="485">
        <f t="shared" ref="G113:G154" si="41">+(F113+D113)/2</f>
        <v>52326.5</v>
      </c>
      <c r="H113" s="488">
        <f t="shared" ref="H113:H154" si="42">+J$94*G113+E113</f>
        <v>7368.385153733162</v>
      </c>
      <c r="I113" s="542">
        <f t="shared" ref="I113:I154" si="43">+J$95*G113+E113</f>
        <v>7368.385153733162</v>
      </c>
      <c r="J113" s="478">
        <f t="shared" si="24"/>
        <v>0</v>
      </c>
      <c r="K113" s="478"/>
      <c r="L113" s="487"/>
      <c r="M113" s="478">
        <f t="shared" si="25"/>
        <v>0</v>
      </c>
      <c r="N113" s="487"/>
      <c r="O113" s="478">
        <f t="shared" si="26"/>
        <v>0</v>
      </c>
      <c r="P113" s="478">
        <f t="shared" si="27"/>
        <v>0</v>
      </c>
    </row>
    <row r="114" spans="2:16">
      <c r="B114" s="160" t="str">
        <f t="shared" si="28"/>
        <v/>
      </c>
      <c r="C114" s="472">
        <f>IF(D93="","-",+C113+1)</f>
        <v>2022</v>
      </c>
      <c r="D114" s="346">
        <f>IF(F113+SUM(E$99:E113)=D$92,F113,D$92-SUM(E$99:E113))</f>
        <v>51463</v>
      </c>
      <c r="E114" s="486">
        <f>IF(+J96&lt;F113,J96,D114)</f>
        <v>1727</v>
      </c>
      <c r="F114" s="485">
        <f t="shared" si="40"/>
        <v>49736</v>
      </c>
      <c r="G114" s="485">
        <f t="shared" si="41"/>
        <v>50599.5</v>
      </c>
      <c r="H114" s="488">
        <f t="shared" si="42"/>
        <v>7182.1951322240384</v>
      </c>
      <c r="I114" s="542">
        <f t="shared" si="43"/>
        <v>7182.1951322240384</v>
      </c>
      <c r="J114" s="478">
        <f t="shared" si="24"/>
        <v>0</v>
      </c>
      <c r="K114" s="478"/>
      <c r="L114" s="487"/>
      <c r="M114" s="478">
        <f t="shared" si="25"/>
        <v>0</v>
      </c>
      <c r="N114" s="487"/>
      <c r="O114" s="478">
        <f t="shared" si="26"/>
        <v>0</v>
      </c>
      <c r="P114" s="478">
        <f t="shared" si="27"/>
        <v>0</v>
      </c>
    </row>
    <row r="115" spans="2:16">
      <c r="B115" s="160" t="str">
        <f t="shared" si="28"/>
        <v/>
      </c>
      <c r="C115" s="472">
        <f>IF(D93="","-",+C114+1)</f>
        <v>2023</v>
      </c>
      <c r="D115" s="346">
        <f>IF(F114+SUM(E$99:E114)=D$92,F114,D$92-SUM(E$99:E114))</f>
        <v>49736</v>
      </c>
      <c r="E115" s="486">
        <f>IF(+J96&lt;F114,J96,D115)</f>
        <v>1727</v>
      </c>
      <c r="F115" s="485">
        <f t="shared" si="40"/>
        <v>48009</v>
      </c>
      <c r="G115" s="485">
        <f t="shared" si="41"/>
        <v>48872.5</v>
      </c>
      <c r="H115" s="488">
        <f t="shared" si="42"/>
        <v>6996.0051107149147</v>
      </c>
      <c r="I115" s="542">
        <f t="shared" si="43"/>
        <v>6996.0051107149147</v>
      </c>
      <c r="J115" s="478">
        <f t="shared" si="24"/>
        <v>0</v>
      </c>
      <c r="K115" s="478"/>
      <c r="L115" s="487"/>
      <c r="M115" s="478">
        <f t="shared" si="25"/>
        <v>0</v>
      </c>
      <c r="N115" s="487"/>
      <c r="O115" s="478">
        <f t="shared" si="26"/>
        <v>0</v>
      </c>
      <c r="P115" s="478">
        <f t="shared" si="27"/>
        <v>0</v>
      </c>
    </row>
    <row r="116" spans="2:16">
      <c r="B116" s="160" t="str">
        <f t="shared" si="28"/>
        <v/>
      </c>
      <c r="C116" s="472">
        <f>IF(D93="","-",+C115+1)</f>
        <v>2024</v>
      </c>
      <c r="D116" s="346">
        <f>IF(F115+SUM(E$99:E115)=D$92,F115,D$92-SUM(E$99:E115))</f>
        <v>48009</v>
      </c>
      <c r="E116" s="486">
        <f>IF(+J96&lt;F115,J96,D116)</f>
        <v>1727</v>
      </c>
      <c r="F116" s="485">
        <f t="shared" si="40"/>
        <v>46282</v>
      </c>
      <c r="G116" s="485">
        <f t="shared" si="41"/>
        <v>47145.5</v>
      </c>
      <c r="H116" s="488">
        <f t="shared" si="42"/>
        <v>6809.8150892057911</v>
      </c>
      <c r="I116" s="542">
        <f t="shared" si="43"/>
        <v>6809.8150892057911</v>
      </c>
      <c r="J116" s="478">
        <f t="shared" si="24"/>
        <v>0</v>
      </c>
      <c r="K116" s="478"/>
      <c r="L116" s="487"/>
      <c r="M116" s="478">
        <f t="shared" si="25"/>
        <v>0</v>
      </c>
      <c r="N116" s="487"/>
      <c r="O116" s="478">
        <f t="shared" si="26"/>
        <v>0</v>
      </c>
      <c r="P116" s="478">
        <f t="shared" si="27"/>
        <v>0</v>
      </c>
    </row>
    <row r="117" spans="2:16">
      <c r="B117" s="160" t="str">
        <f t="shared" si="28"/>
        <v/>
      </c>
      <c r="C117" s="472">
        <f>IF(D93="","-",+C116+1)</f>
        <v>2025</v>
      </c>
      <c r="D117" s="346">
        <f>IF(F116+SUM(E$99:E116)=D$92,F116,D$92-SUM(E$99:E116))</f>
        <v>46282</v>
      </c>
      <c r="E117" s="486">
        <f>IF(+J96&lt;F116,J96,D117)</f>
        <v>1727</v>
      </c>
      <c r="F117" s="485">
        <f t="shared" si="40"/>
        <v>44555</v>
      </c>
      <c r="G117" s="485">
        <f t="shared" si="41"/>
        <v>45418.5</v>
      </c>
      <c r="H117" s="488">
        <f t="shared" si="42"/>
        <v>6623.6250676966665</v>
      </c>
      <c r="I117" s="542">
        <f t="shared" si="43"/>
        <v>6623.6250676966665</v>
      </c>
      <c r="J117" s="478">
        <f t="shared" si="24"/>
        <v>0</v>
      </c>
      <c r="K117" s="478"/>
      <c r="L117" s="487"/>
      <c r="M117" s="478">
        <f t="shared" si="25"/>
        <v>0</v>
      </c>
      <c r="N117" s="487"/>
      <c r="O117" s="478">
        <f t="shared" si="26"/>
        <v>0</v>
      </c>
      <c r="P117" s="478">
        <f t="shared" si="27"/>
        <v>0</v>
      </c>
    </row>
    <row r="118" spans="2:16">
      <c r="B118" s="160" t="str">
        <f t="shared" si="28"/>
        <v/>
      </c>
      <c r="C118" s="472">
        <f>IF(D93="","-",+C117+1)</f>
        <v>2026</v>
      </c>
      <c r="D118" s="346">
        <f>IF(F117+SUM(E$99:E117)=D$92,F117,D$92-SUM(E$99:E117))</f>
        <v>44555</v>
      </c>
      <c r="E118" s="486">
        <f>IF(+J96&lt;F117,J96,D118)</f>
        <v>1727</v>
      </c>
      <c r="F118" s="485">
        <f t="shared" si="40"/>
        <v>42828</v>
      </c>
      <c r="G118" s="485">
        <f t="shared" si="41"/>
        <v>43691.5</v>
      </c>
      <c r="H118" s="488">
        <f t="shared" si="42"/>
        <v>6437.4350461875429</v>
      </c>
      <c r="I118" s="542">
        <f t="shared" si="43"/>
        <v>6437.4350461875429</v>
      </c>
      <c r="J118" s="478">
        <f t="shared" si="24"/>
        <v>0</v>
      </c>
      <c r="K118" s="478"/>
      <c r="L118" s="487"/>
      <c r="M118" s="478">
        <f t="shared" si="25"/>
        <v>0</v>
      </c>
      <c r="N118" s="487"/>
      <c r="O118" s="478">
        <f t="shared" si="26"/>
        <v>0</v>
      </c>
      <c r="P118" s="478">
        <f t="shared" si="27"/>
        <v>0</v>
      </c>
    </row>
    <row r="119" spans="2:16">
      <c r="B119" s="160" t="str">
        <f t="shared" si="28"/>
        <v/>
      </c>
      <c r="C119" s="472">
        <f>IF(D93="","-",+C118+1)</f>
        <v>2027</v>
      </c>
      <c r="D119" s="346">
        <f>IF(F118+SUM(E$99:E118)=D$92,F118,D$92-SUM(E$99:E118))</f>
        <v>42828</v>
      </c>
      <c r="E119" s="486">
        <f>IF(+J96&lt;F118,J96,D119)</f>
        <v>1727</v>
      </c>
      <c r="F119" s="485">
        <f t="shared" si="40"/>
        <v>41101</v>
      </c>
      <c r="G119" s="485">
        <f t="shared" si="41"/>
        <v>41964.5</v>
      </c>
      <c r="H119" s="488">
        <f t="shared" si="42"/>
        <v>6251.2450246784192</v>
      </c>
      <c r="I119" s="542">
        <f t="shared" si="43"/>
        <v>6251.2450246784192</v>
      </c>
      <c r="J119" s="478">
        <f t="shared" si="24"/>
        <v>0</v>
      </c>
      <c r="K119" s="478"/>
      <c r="L119" s="487"/>
      <c r="M119" s="478">
        <f t="shared" si="25"/>
        <v>0</v>
      </c>
      <c r="N119" s="487"/>
      <c r="O119" s="478">
        <f t="shared" si="26"/>
        <v>0</v>
      </c>
      <c r="P119" s="478">
        <f t="shared" si="27"/>
        <v>0</v>
      </c>
    </row>
    <row r="120" spans="2:16">
      <c r="B120" s="160" t="str">
        <f t="shared" si="28"/>
        <v/>
      </c>
      <c r="C120" s="472">
        <f>IF(D93="","-",+C119+1)</f>
        <v>2028</v>
      </c>
      <c r="D120" s="346">
        <f>IF(F119+SUM(E$99:E119)=D$92,F119,D$92-SUM(E$99:E119))</f>
        <v>41101</v>
      </c>
      <c r="E120" s="486">
        <f>IF(+J96&lt;F119,J96,D120)</f>
        <v>1727</v>
      </c>
      <c r="F120" s="485">
        <f t="shared" si="40"/>
        <v>39374</v>
      </c>
      <c r="G120" s="485">
        <f t="shared" si="41"/>
        <v>40237.5</v>
      </c>
      <c r="H120" s="488">
        <f t="shared" si="42"/>
        <v>6065.0550031692956</v>
      </c>
      <c r="I120" s="542">
        <f t="shared" si="43"/>
        <v>6065.0550031692956</v>
      </c>
      <c r="J120" s="478">
        <f t="shared" si="24"/>
        <v>0</v>
      </c>
      <c r="K120" s="478"/>
      <c r="L120" s="487"/>
      <c r="M120" s="478">
        <f t="shared" si="25"/>
        <v>0</v>
      </c>
      <c r="N120" s="487"/>
      <c r="O120" s="478">
        <f t="shared" si="26"/>
        <v>0</v>
      </c>
      <c r="P120" s="478">
        <f t="shared" si="27"/>
        <v>0</v>
      </c>
    </row>
    <row r="121" spans="2:16">
      <c r="B121" s="160" t="str">
        <f t="shared" si="28"/>
        <v/>
      </c>
      <c r="C121" s="472">
        <f>IF(D93="","-",+C120+1)</f>
        <v>2029</v>
      </c>
      <c r="D121" s="346">
        <f>IF(F120+SUM(E$99:E120)=D$92,F120,D$92-SUM(E$99:E120))</f>
        <v>39374</v>
      </c>
      <c r="E121" s="486">
        <f>IF(+J96&lt;F120,J96,D121)</f>
        <v>1727</v>
      </c>
      <c r="F121" s="485">
        <f t="shared" si="40"/>
        <v>37647</v>
      </c>
      <c r="G121" s="485">
        <f t="shared" si="41"/>
        <v>38510.5</v>
      </c>
      <c r="H121" s="488">
        <f t="shared" si="42"/>
        <v>5878.864981660171</v>
      </c>
      <c r="I121" s="542">
        <f t="shared" si="43"/>
        <v>5878.864981660171</v>
      </c>
      <c r="J121" s="478">
        <f t="shared" si="24"/>
        <v>0</v>
      </c>
      <c r="K121" s="478"/>
      <c r="L121" s="487"/>
      <c r="M121" s="478">
        <f t="shared" si="25"/>
        <v>0</v>
      </c>
      <c r="N121" s="487"/>
      <c r="O121" s="478">
        <f t="shared" si="26"/>
        <v>0</v>
      </c>
      <c r="P121" s="478">
        <f t="shared" si="27"/>
        <v>0</v>
      </c>
    </row>
    <row r="122" spans="2:16">
      <c r="B122" s="160" t="str">
        <f t="shared" si="28"/>
        <v/>
      </c>
      <c r="C122" s="472">
        <f>IF(D93="","-",+C121+1)</f>
        <v>2030</v>
      </c>
      <c r="D122" s="346">
        <f>IF(F121+SUM(E$99:E121)=D$92,F121,D$92-SUM(E$99:E121))</f>
        <v>37647</v>
      </c>
      <c r="E122" s="486">
        <f>IF(+J96&lt;F121,J96,D122)</f>
        <v>1727</v>
      </c>
      <c r="F122" s="485">
        <f t="shared" si="40"/>
        <v>35920</v>
      </c>
      <c r="G122" s="485">
        <f t="shared" si="41"/>
        <v>36783.5</v>
      </c>
      <c r="H122" s="488">
        <f t="shared" si="42"/>
        <v>5692.6749601510473</v>
      </c>
      <c r="I122" s="542">
        <f t="shared" si="43"/>
        <v>5692.6749601510473</v>
      </c>
      <c r="J122" s="478">
        <f t="shared" si="24"/>
        <v>0</v>
      </c>
      <c r="K122" s="478"/>
      <c r="L122" s="487"/>
      <c r="M122" s="478">
        <f t="shared" si="25"/>
        <v>0</v>
      </c>
      <c r="N122" s="487"/>
      <c r="O122" s="478">
        <f t="shared" si="26"/>
        <v>0</v>
      </c>
      <c r="P122" s="478">
        <f t="shared" si="27"/>
        <v>0</v>
      </c>
    </row>
    <row r="123" spans="2:16">
      <c r="B123" s="160" t="str">
        <f t="shared" si="28"/>
        <v/>
      </c>
      <c r="C123" s="472">
        <f>IF(D93="","-",+C122+1)</f>
        <v>2031</v>
      </c>
      <c r="D123" s="346">
        <f>IF(F122+SUM(E$99:E122)=D$92,F122,D$92-SUM(E$99:E122))</f>
        <v>35920</v>
      </c>
      <c r="E123" s="486">
        <f>IF(+J96&lt;F122,J96,D123)</f>
        <v>1727</v>
      </c>
      <c r="F123" s="485">
        <f t="shared" si="40"/>
        <v>34193</v>
      </c>
      <c r="G123" s="485">
        <f t="shared" si="41"/>
        <v>35056.5</v>
      </c>
      <c r="H123" s="488">
        <f t="shared" si="42"/>
        <v>5506.4849386419228</v>
      </c>
      <c r="I123" s="542">
        <f t="shared" si="43"/>
        <v>5506.4849386419228</v>
      </c>
      <c r="J123" s="478">
        <f t="shared" si="24"/>
        <v>0</v>
      </c>
      <c r="K123" s="478"/>
      <c r="L123" s="487"/>
      <c r="M123" s="478">
        <f t="shared" si="25"/>
        <v>0</v>
      </c>
      <c r="N123" s="487"/>
      <c r="O123" s="478">
        <f t="shared" si="26"/>
        <v>0</v>
      </c>
      <c r="P123" s="478">
        <f t="shared" si="27"/>
        <v>0</v>
      </c>
    </row>
    <row r="124" spans="2:16">
      <c r="B124" s="160" t="str">
        <f t="shared" si="28"/>
        <v/>
      </c>
      <c r="C124" s="472">
        <f>IF(D93="","-",+C123+1)</f>
        <v>2032</v>
      </c>
      <c r="D124" s="346">
        <f>IF(F123+SUM(E$99:E123)=D$92,F123,D$92-SUM(E$99:E123))</f>
        <v>34193</v>
      </c>
      <c r="E124" s="486">
        <f>IF(+J96&lt;F123,J96,D124)</f>
        <v>1727</v>
      </c>
      <c r="F124" s="485">
        <f t="shared" si="40"/>
        <v>32466</v>
      </c>
      <c r="G124" s="485">
        <f t="shared" si="41"/>
        <v>33329.5</v>
      </c>
      <c r="H124" s="488">
        <f t="shared" si="42"/>
        <v>5320.2949171328</v>
      </c>
      <c r="I124" s="542">
        <f t="shared" si="43"/>
        <v>5320.2949171328</v>
      </c>
      <c r="J124" s="478">
        <f t="shared" si="24"/>
        <v>0</v>
      </c>
      <c r="K124" s="478"/>
      <c r="L124" s="487"/>
      <c r="M124" s="478">
        <f t="shared" si="25"/>
        <v>0</v>
      </c>
      <c r="N124" s="487"/>
      <c r="O124" s="478">
        <f t="shared" si="26"/>
        <v>0</v>
      </c>
      <c r="P124" s="478">
        <f t="shared" si="27"/>
        <v>0</v>
      </c>
    </row>
    <row r="125" spans="2:16">
      <c r="B125" s="160" t="str">
        <f t="shared" si="28"/>
        <v/>
      </c>
      <c r="C125" s="472">
        <f>IF(D93="","-",+C124+1)</f>
        <v>2033</v>
      </c>
      <c r="D125" s="346">
        <f>IF(F124+SUM(E$99:E124)=D$92,F124,D$92-SUM(E$99:E124))</f>
        <v>32466</v>
      </c>
      <c r="E125" s="486">
        <f>IF(+J96&lt;F124,J96,D125)</f>
        <v>1727</v>
      </c>
      <c r="F125" s="485">
        <f t="shared" si="40"/>
        <v>30739</v>
      </c>
      <c r="G125" s="485">
        <f t="shared" si="41"/>
        <v>31602.5</v>
      </c>
      <c r="H125" s="488">
        <f t="shared" si="42"/>
        <v>5134.1048956236755</v>
      </c>
      <c r="I125" s="542">
        <f t="shared" si="43"/>
        <v>5134.1048956236755</v>
      </c>
      <c r="J125" s="478">
        <f t="shared" si="24"/>
        <v>0</v>
      </c>
      <c r="K125" s="478"/>
      <c r="L125" s="487"/>
      <c r="M125" s="478">
        <f t="shared" si="25"/>
        <v>0</v>
      </c>
      <c r="N125" s="487"/>
      <c r="O125" s="478">
        <f t="shared" si="26"/>
        <v>0</v>
      </c>
      <c r="P125" s="478">
        <f t="shared" si="27"/>
        <v>0</v>
      </c>
    </row>
    <row r="126" spans="2:16">
      <c r="B126" s="160" t="str">
        <f t="shared" si="28"/>
        <v/>
      </c>
      <c r="C126" s="472">
        <f>IF(D93="","-",+C125+1)</f>
        <v>2034</v>
      </c>
      <c r="D126" s="346">
        <f>IF(F125+SUM(E$99:E125)=D$92,F125,D$92-SUM(E$99:E125))</f>
        <v>30739</v>
      </c>
      <c r="E126" s="486">
        <f>IF(+J96&lt;F125,J96,D126)</f>
        <v>1727</v>
      </c>
      <c r="F126" s="485">
        <f t="shared" si="40"/>
        <v>29012</v>
      </c>
      <c r="G126" s="485">
        <f t="shared" si="41"/>
        <v>29875.5</v>
      </c>
      <c r="H126" s="488">
        <f t="shared" si="42"/>
        <v>4947.9148741145518</v>
      </c>
      <c r="I126" s="542">
        <f t="shared" si="43"/>
        <v>4947.9148741145518</v>
      </c>
      <c r="J126" s="478">
        <f t="shared" si="24"/>
        <v>0</v>
      </c>
      <c r="K126" s="478"/>
      <c r="L126" s="487"/>
      <c r="M126" s="478">
        <f t="shared" si="25"/>
        <v>0</v>
      </c>
      <c r="N126" s="487"/>
      <c r="O126" s="478">
        <f t="shared" si="26"/>
        <v>0</v>
      </c>
      <c r="P126" s="478">
        <f t="shared" si="27"/>
        <v>0</v>
      </c>
    </row>
    <row r="127" spans="2:16">
      <c r="B127" s="160" t="str">
        <f t="shared" si="28"/>
        <v/>
      </c>
      <c r="C127" s="472">
        <f>IF(D93="","-",+C126+1)</f>
        <v>2035</v>
      </c>
      <c r="D127" s="346">
        <f>IF(F126+SUM(E$99:E126)=D$92,F126,D$92-SUM(E$99:E126))</f>
        <v>29012</v>
      </c>
      <c r="E127" s="486">
        <f>IF(+J96&lt;F126,J96,D127)</f>
        <v>1727</v>
      </c>
      <c r="F127" s="485">
        <f t="shared" si="40"/>
        <v>27285</v>
      </c>
      <c r="G127" s="485">
        <f t="shared" si="41"/>
        <v>28148.5</v>
      </c>
      <c r="H127" s="488">
        <f t="shared" si="42"/>
        <v>4761.7248526054282</v>
      </c>
      <c r="I127" s="542">
        <f t="shared" si="43"/>
        <v>4761.7248526054282</v>
      </c>
      <c r="J127" s="478">
        <f t="shared" si="24"/>
        <v>0</v>
      </c>
      <c r="K127" s="478"/>
      <c r="L127" s="487"/>
      <c r="M127" s="478">
        <f t="shared" si="25"/>
        <v>0</v>
      </c>
      <c r="N127" s="487"/>
      <c r="O127" s="478">
        <f t="shared" si="26"/>
        <v>0</v>
      </c>
      <c r="P127" s="478">
        <f t="shared" si="27"/>
        <v>0</v>
      </c>
    </row>
    <row r="128" spans="2:16">
      <c r="B128" s="160" t="str">
        <f t="shared" si="28"/>
        <v/>
      </c>
      <c r="C128" s="472">
        <f>IF(D93="","-",+C127+1)</f>
        <v>2036</v>
      </c>
      <c r="D128" s="346">
        <f>IF(F127+SUM(E$99:E127)=D$92,F127,D$92-SUM(E$99:E127))</f>
        <v>27285</v>
      </c>
      <c r="E128" s="486">
        <f>IF(+J96&lt;F127,J96,D128)</f>
        <v>1727</v>
      </c>
      <c r="F128" s="485">
        <f t="shared" si="40"/>
        <v>25558</v>
      </c>
      <c r="G128" s="485">
        <f t="shared" si="41"/>
        <v>26421.5</v>
      </c>
      <c r="H128" s="488">
        <f t="shared" si="42"/>
        <v>4575.5348310963036</v>
      </c>
      <c r="I128" s="542">
        <f t="shared" si="43"/>
        <v>4575.5348310963036</v>
      </c>
      <c r="J128" s="478">
        <f t="shared" si="24"/>
        <v>0</v>
      </c>
      <c r="K128" s="478"/>
      <c r="L128" s="487"/>
      <c r="M128" s="478">
        <f t="shared" si="25"/>
        <v>0</v>
      </c>
      <c r="N128" s="487"/>
      <c r="O128" s="478">
        <f t="shared" si="26"/>
        <v>0</v>
      </c>
      <c r="P128" s="478">
        <f t="shared" si="27"/>
        <v>0</v>
      </c>
    </row>
    <row r="129" spans="2:16">
      <c r="B129" s="160" t="str">
        <f t="shared" si="28"/>
        <v/>
      </c>
      <c r="C129" s="472">
        <f>IF(D93="","-",+C128+1)</f>
        <v>2037</v>
      </c>
      <c r="D129" s="346">
        <f>IF(F128+SUM(E$99:E128)=D$92,F128,D$92-SUM(E$99:E128))</f>
        <v>25558</v>
      </c>
      <c r="E129" s="486">
        <f>IF(+J96&lt;F128,J96,D129)</f>
        <v>1727</v>
      </c>
      <c r="F129" s="485">
        <f t="shared" si="40"/>
        <v>23831</v>
      </c>
      <c r="G129" s="485">
        <f t="shared" si="41"/>
        <v>24694.5</v>
      </c>
      <c r="H129" s="488">
        <f t="shared" si="42"/>
        <v>4389.34480958718</v>
      </c>
      <c r="I129" s="542">
        <f t="shared" si="43"/>
        <v>4389.34480958718</v>
      </c>
      <c r="J129" s="478">
        <f t="shared" si="24"/>
        <v>0</v>
      </c>
      <c r="K129" s="478"/>
      <c r="L129" s="487"/>
      <c r="M129" s="478">
        <f t="shared" si="25"/>
        <v>0</v>
      </c>
      <c r="N129" s="487"/>
      <c r="O129" s="478">
        <f t="shared" si="26"/>
        <v>0</v>
      </c>
      <c r="P129" s="478">
        <f t="shared" si="27"/>
        <v>0</v>
      </c>
    </row>
    <row r="130" spans="2:16">
      <c r="B130" s="160" t="str">
        <f t="shared" si="28"/>
        <v/>
      </c>
      <c r="C130" s="472">
        <f>IF(D93="","-",+C129+1)</f>
        <v>2038</v>
      </c>
      <c r="D130" s="346">
        <f>IF(F129+SUM(E$99:E129)=D$92,F129,D$92-SUM(E$99:E129))</f>
        <v>23831</v>
      </c>
      <c r="E130" s="486">
        <f>IF(+J96&lt;F129,J96,D130)</f>
        <v>1727</v>
      </c>
      <c r="F130" s="485">
        <f t="shared" si="40"/>
        <v>22104</v>
      </c>
      <c r="G130" s="485">
        <f t="shared" si="41"/>
        <v>22967.5</v>
      </c>
      <c r="H130" s="488">
        <f t="shared" si="42"/>
        <v>4203.1547880780563</v>
      </c>
      <c r="I130" s="542">
        <f t="shared" si="43"/>
        <v>4203.1547880780563</v>
      </c>
      <c r="J130" s="478">
        <f t="shared" si="24"/>
        <v>0</v>
      </c>
      <c r="K130" s="478"/>
      <c r="L130" s="487"/>
      <c r="M130" s="478">
        <f t="shared" si="25"/>
        <v>0</v>
      </c>
      <c r="N130" s="487"/>
      <c r="O130" s="478">
        <f t="shared" si="26"/>
        <v>0</v>
      </c>
      <c r="P130" s="478">
        <f t="shared" si="27"/>
        <v>0</v>
      </c>
    </row>
    <row r="131" spans="2:16">
      <c r="B131" s="160" t="str">
        <f t="shared" si="28"/>
        <v/>
      </c>
      <c r="C131" s="472">
        <f>IF(D93="","-",+C130+1)</f>
        <v>2039</v>
      </c>
      <c r="D131" s="346">
        <f>IF(F130+SUM(E$99:E130)=D$92,F130,D$92-SUM(E$99:E130))</f>
        <v>22104</v>
      </c>
      <c r="E131" s="486">
        <f>IF(+J96&lt;F130,J96,D131)</f>
        <v>1727</v>
      </c>
      <c r="F131" s="485">
        <f t="shared" si="40"/>
        <v>20377</v>
      </c>
      <c r="G131" s="485">
        <f t="shared" si="41"/>
        <v>21240.5</v>
      </c>
      <c r="H131" s="488">
        <f t="shared" si="42"/>
        <v>4016.9647665689322</v>
      </c>
      <c r="I131" s="542">
        <f t="shared" si="43"/>
        <v>4016.9647665689322</v>
      </c>
      <c r="J131" s="478">
        <f t="shared" ref="J131:J154" si="44">+I541-H541</f>
        <v>0</v>
      </c>
      <c r="K131" s="478"/>
      <c r="L131" s="487"/>
      <c r="M131" s="478">
        <f t="shared" ref="M131:M154" si="45">IF(L541&lt;&gt;0,+H541-L541,0)</f>
        <v>0</v>
      </c>
      <c r="N131" s="487"/>
      <c r="O131" s="478">
        <f t="shared" ref="O131:O154" si="46">IF(N541&lt;&gt;0,+I541-N541,0)</f>
        <v>0</v>
      </c>
      <c r="P131" s="478">
        <f t="shared" ref="P131:P154" si="47">+O541-M541</f>
        <v>0</v>
      </c>
    </row>
    <row r="132" spans="2:16">
      <c r="B132" s="160" t="str">
        <f t="shared" si="28"/>
        <v/>
      </c>
      <c r="C132" s="472">
        <f>IF(D93="","-",+C131+1)</f>
        <v>2040</v>
      </c>
      <c r="D132" s="346">
        <f>IF(F131+SUM(E$99:E131)=D$92,F131,D$92-SUM(E$99:E131))</f>
        <v>20377</v>
      </c>
      <c r="E132" s="486">
        <f>IF(+J96&lt;F131,J96,D132)</f>
        <v>1727</v>
      </c>
      <c r="F132" s="485">
        <f t="shared" si="40"/>
        <v>18650</v>
      </c>
      <c r="G132" s="485">
        <f t="shared" si="41"/>
        <v>19513.5</v>
      </c>
      <c r="H132" s="488">
        <f t="shared" si="42"/>
        <v>3830.7747450598085</v>
      </c>
      <c r="I132" s="542">
        <f t="shared" si="43"/>
        <v>3830.7747450598085</v>
      </c>
      <c r="J132" s="478">
        <f t="shared" si="44"/>
        <v>0</v>
      </c>
      <c r="K132" s="478"/>
      <c r="L132" s="487"/>
      <c r="M132" s="478">
        <f t="shared" si="45"/>
        <v>0</v>
      </c>
      <c r="N132" s="487"/>
      <c r="O132" s="478">
        <f t="shared" si="46"/>
        <v>0</v>
      </c>
      <c r="P132" s="478">
        <f t="shared" si="47"/>
        <v>0</v>
      </c>
    </row>
    <row r="133" spans="2:16">
      <c r="B133" s="160" t="str">
        <f t="shared" si="28"/>
        <v/>
      </c>
      <c r="C133" s="472">
        <f>IF(D93="","-",+C132+1)</f>
        <v>2041</v>
      </c>
      <c r="D133" s="346">
        <f>IF(F132+SUM(E$99:E132)=D$92,F132,D$92-SUM(E$99:E132))</f>
        <v>18650</v>
      </c>
      <c r="E133" s="486">
        <f>IF(+J96&lt;F132,J96,D133)</f>
        <v>1727</v>
      </c>
      <c r="F133" s="485">
        <f t="shared" si="40"/>
        <v>16923</v>
      </c>
      <c r="G133" s="485">
        <f t="shared" si="41"/>
        <v>17786.5</v>
      </c>
      <c r="H133" s="488">
        <f t="shared" si="42"/>
        <v>3644.5847235506844</v>
      </c>
      <c r="I133" s="542">
        <f t="shared" si="43"/>
        <v>3644.5847235506844</v>
      </c>
      <c r="J133" s="478">
        <f t="shared" si="44"/>
        <v>0</v>
      </c>
      <c r="K133" s="478"/>
      <c r="L133" s="487"/>
      <c r="M133" s="478">
        <f t="shared" si="45"/>
        <v>0</v>
      </c>
      <c r="N133" s="487"/>
      <c r="O133" s="478">
        <f t="shared" si="46"/>
        <v>0</v>
      </c>
      <c r="P133" s="478">
        <f t="shared" si="47"/>
        <v>0</v>
      </c>
    </row>
    <row r="134" spans="2:16">
      <c r="B134" s="160" t="str">
        <f t="shared" si="28"/>
        <v/>
      </c>
      <c r="C134" s="472">
        <f>IF(D93="","-",+C133+1)</f>
        <v>2042</v>
      </c>
      <c r="D134" s="346">
        <f>IF(F133+SUM(E$99:E133)=D$92,F133,D$92-SUM(E$99:E133))</f>
        <v>16923</v>
      </c>
      <c r="E134" s="486">
        <f>IF(+J96&lt;F133,J96,D134)</f>
        <v>1727</v>
      </c>
      <c r="F134" s="485">
        <f t="shared" si="40"/>
        <v>15196</v>
      </c>
      <c r="G134" s="485">
        <f t="shared" si="41"/>
        <v>16059.5</v>
      </c>
      <c r="H134" s="488">
        <f t="shared" si="42"/>
        <v>3458.3947020415608</v>
      </c>
      <c r="I134" s="542">
        <f t="shared" si="43"/>
        <v>3458.3947020415608</v>
      </c>
      <c r="J134" s="478">
        <f t="shared" si="44"/>
        <v>0</v>
      </c>
      <c r="K134" s="478"/>
      <c r="L134" s="487"/>
      <c r="M134" s="478">
        <f t="shared" si="45"/>
        <v>0</v>
      </c>
      <c r="N134" s="487"/>
      <c r="O134" s="478">
        <f t="shared" si="46"/>
        <v>0</v>
      </c>
      <c r="P134" s="478">
        <f t="shared" si="47"/>
        <v>0</v>
      </c>
    </row>
    <row r="135" spans="2:16">
      <c r="B135" s="160" t="str">
        <f t="shared" si="28"/>
        <v/>
      </c>
      <c r="C135" s="472">
        <f>IF(D93="","-",+C134+1)</f>
        <v>2043</v>
      </c>
      <c r="D135" s="346">
        <f>IF(F134+SUM(E$99:E134)=D$92,F134,D$92-SUM(E$99:E134))</f>
        <v>15196</v>
      </c>
      <c r="E135" s="486">
        <f>IF(+J96&lt;F134,J96,D135)</f>
        <v>1727</v>
      </c>
      <c r="F135" s="485">
        <f t="shared" si="40"/>
        <v>13469</v>
      </c>
      <c r="G135" s="485">
        <f t="shared" si="41"/>
        <v>14332.5</v>
      </c>
      <c r="H135" s="488">
        <f t="shared" si="42"/>
        <v>3272.2046805324367</v>
      </c>
      <c r="I135" s="542">
        <f t="shared" si="43"/>
        <v>3272.2046805324367</v>
      </c>
      <c r="J135" s="478">
        <f t="shared" si="44"/>
        <v>0</v>
      </c>
      <c r="K135" s="478"/>
      <c r="L135" s="487"/>
      <c r="M135" s="478">
        <f t="shared" si="45"/>
        <v>0</v>
      </c>
      <c r="N135" s="487"/>
      <c r="O135" s="478">
        <f t="shared" si="46"/>
        <v>0</v>
      </c>
      <c r="P135" s="478">
        <f t="shared" si="47"/>
        <v>0</v>
      </c>
    </row>
    <row r="136" spans="2:16">
      <c r="B136" s="160" t="str">
        <f t="shared" si="28"/>
        <v/>
      </c>
      <c r="C136" s="472">
        <f>IF(D93="","-",+C135+1)</f>
        <v>2044</v>
      </c>
      <c r="D136" s="346">
        <f>IF(F135+SUM(E$99:E135)=D$92,F135,D$92-SUM(E$99:E135))</f>
        <v>13469</v>
      </c>
      <c r="E136" s="486">
        <f>IF(+J96&lt;F135,J96,D136)</f>
        <v>1727</v>
      </c>
      <c r="F136" s="485">
        <f t="shared" si="40"/>
        <v>11742</v>
      </c>
      <c r="G136" s="485">
        <f t="shared" si="41"/>
        <v>12605.5</v>
      </c>
      <c r="H136" s="488">
        <f t="shared" si="42"/>
        <v>3086.0146590233126</v>
      </c>
      <c r="I136" s="542">
        <f t="shared" si="43"/>
        <v>3086.0146590233126</v>
      </c>
      <c r="J136" s="478">
        <f t="shared" si="44"/>
        <v>0</v>
      </c>
      <c r="K136" s="478"/>
      <c r="L136" s="487"/>
      <c r="M136" s="478">
        <f t="shared" si="45"/>
        <v>0</v>
      </c>
      <c r="N136" s="487"/>
      <c r="O136" s="478">
        <f t="shared" si="46"/>
        <v>0</v>
      </c>
      <c r="P136" s="478">
        <f t="shared" si="47"/>
        <v>0</v>
      </c>
    </row>
    <row r="137" spans="2:16">
      <c r="B137" s="160" t="str">
        <f t="shared" si="28"/>
        <v/>
      </c>
      <c r="C137" s="472">
        <f>IF(D93="","-",+C136+1)</f>
        <v>2045</v>
      </c>
      <c r="D137" s="346">
        <f>IF(F136+SUM(E$99:E136)=D$92,F136,D$92-SUM(E$99:E136))</f>
        <v>11742</v>
      </c>
      <c r="E137" s="486">
        <f>IF(+J96&lt;F136,J96,D137)</f>
        <v>1727</v>
      </c>
      <c r="F137" s="485">
        <f t="shared" si="40"/>
        <v>10015</v>
      </c>
      <c r="G137" s="485">
        <f t="shared" si="41"/>
        <v>10878.5</v>
      </c>
      <c r="H137" s="488">
        <f t="shared" si="42"/>
        <v>2899.8246375141889</v>
      </c>
      <c r="I137" s="542">
        <f t="shared" si="43"/>
        <v>2899.8246375141889</v>
      </c>
      <c r="J137" s="478">
        <f t="shared" si="44"/>
        <v>0</v>
      </c>
      <c r="K137" s="478"/>
      <c r="L137" s="487"/>
      <c r="M137" s="478">
        <f t="shared" si="45"/>
        <v>0</v>
      </c>
      <c r="N137" s="487"/>
      <c r="O137" s="478">
        <f t="shared" si="46"/>
        <v>0</v>
      </c>
      <c r="P137" s="478">
        <f t="shared" si="47"/>
        <v>0</v>
      </c>
    </row>
    <row r="138" spans="2:16">
      <c r="B138" s="160" t="str">
        <f t="shared" si="28"/>
        <v/>
      </c>
      <c r="C138" s="472">
        <f>IF(D93="","-",+C137+1)</f>
        <v>2046</v>
      </c>
      <c r="D138" s="346">
        <f>IF(F137+SUM(E$99:E137)=D$92,F137,D$92-SUM(E$99:E137))</f>
        <v>10015</v>
      </c>
      <c r="E138" s="486">
        <f>IF(+J96&lt;F137,J96,D138)</f>
        <v>1727</v>
      </c>
      <c r="F138" s="485">
        <f t="shared" si="40"/>
        <v>8288</v>
      </c>
      <c r="G138" s="485">
        <f t="shared" si="41"/>
        <v>9151.5</v>
      </c>
      <c r="H138" s="488">
        <f t="shared" si="42"/>
        <v>2713.6346160050653</v>
      </c>
      <c r="I138" s="542">
        <f t="shared" si="43"/>
        <v>2713.6346160050653</v>
      </c>
      <c r="J138" s="478">
        <f t="shared" si="44"/>
        <v>0</v>
      </c>
      <c r="K138" s="478"/>
      <c r="L138" s="487"/>
      <c r="M138" s="478">
        <f t="shared" si="45"/>
        <v>0</v>
      </c>
      <c r="N138" s="487"/>
      <c r="O138" s="478">
        <f t="shared" si="46"/>
        <v>0</v>
      </c>
      <c r="P138" s="478">
        <f t="shared" si="47"/>
        <v>0</v>
      </c>
    </row>
    <row r="139" spans="2:16">
      <c r="B139" s="160" t="str">
        <f t="shared" si="28"/>
        <v/>
      </c>
      <c r="C139" s="472">
        <f>IF(D93="","-",+C138+1)</f>
        <v>2047</v>
      </c>
      <c r="D139" s="346">
        <f>IF(F138+SUM(E$99:E138)=D$92,F138,D$92-SUM(E$99:E138))</f>
        <v>8288</v>
      </c>
      <c r="E139" s="486">
        <f>IF(+J96&lt;F138,J96,D139)</f>
        <v>1727</v>
      </c>
      <c r="F139" s="485">
        <f t="shared" si="40"/>
        <v>6561</v>
      </c>
      <c r="G139" s="485">
        <f t="shared" si="41"/>
        <v>7424.5</v>
      </c>
      <c r="H139" s="488">
        <f t="shared" si="42"/>
        <v>2527.4445944959411</v>
      </c>
      <c r="I139" s="542">
        <f t="shared" si="43"/>
        <v>2527.4445944959411</v>
      </c>
      <c r="J139" s="478">
        <f t="shared" si="44"/>
        <v>0</v>
      </c>
      <c r="K139" s="478"/>
      <c r="L139" s="487"/>
      <c r="M139" s="478">
        <f t="shared" si="45"/>
        <v>0</v>
      </c>
      <c r="N139" s="487"/>
      <c r="O139" s="478">
        <f t="shared" si="46"/>
        <v>0</v>
      </c>
      <c r="P139" s="478">
        <f t="shared" si="47"/>
        <v>0</v>
      </c>
    </row>
    <row r="140" spans="2:16">
      <c r="B140" s="160" t="str">
        <f t="shared" si="28"/>
        <v/>
      </c>
      <c r="C140" s="472">
        <f>IF(D93="","-",+C139+1)</f>
        <v>2048</v>
      </c>
      <c r="D140" s="346">
        <f>IF(F139+SUM(E$99:E139)=D$92,F139,D$92-SUM(E$99:E139))</f>
        <v>6561</v>
      </c>
      <c r="E140" s="486">
        <f>IF(+J96&lt;F139,J96,D140)</f>
        <v>1727</v>
      </c>
      <c r="F140" s="485">
        <f t="shared" si="40"/>
        <v>4834</v>
      </c>
      <c r="G140" s="485">
        <f t="shared" si="41"/>
        <v>5697.5</v>
      </c>
      <c r="H140" s="488">
        <f t="shared" si="42"/>
        <v>2341.254572986817</v>
      </c>
      <c r="I140" s="542">
        <f t="shared" si="43"/>
        <v>2341.254572986817</v>
      </c>
      <c r="J140" s="478">
        <f t="shared" si="44"/>
        <v>0</v>
      </c>
      <c r="K140" s="478"/>
      <c r="L140" s="487"/>
      <c r="M140" s="478">
        <f t="shared" si="45"/>
        <v>0</v>
      </c>
      <c r="N140" s="487"/>
      <c r="O140" s="478">
        <f t="shared" si="46"/>
        <v>0</v>
      </c>
      <c r="P140" s="478">
        <f t="shared" si="47"/>
        <v>0</v>
      </c>
    </row>
    <row r="141" spans="2:16">
      <c r="B141" s="160" t="str">
        <f t="shared" si="28"/>
        <v/>
      </c>
      <c r="C141" s="472">
        <f>IF(D93="","-",+C140+1)</f>
        <v>2049</v>
      </c>
      <c r="D141" s="346">
        <f>IF(F140+SUM(E$99:E140)=D$92,F140,D$92-SUM(E$99:E140))</f>
        <v>4834</v>
      </c>
      <c r="E141" s="486">
        <f>IF(+J96&lt;F140,J96,D141)</f>
        <v>1727</v>
      </c>
      <c r="F141" s="485">
        <f t="shared" si="40"/>
        <v>3107</v>
      </c>
      <c r="G141" s="485">
        <f t="shared" si="41"/>
        <v>3970.5</v>
      </c>
      <c r="H141" s="488">
        <f t="shared" si="42"/>
        <v>2155.0645514776934</v>
      </c>
      <c r="I141" s="542">
        <f t="shared" si="43"/>
        <v>2155.0645514776934</v>
      </c>
      <c r="J141" s="478">
        <f t="shared" si="44"/>
        <v>0</v>
      </c>
      <c r="K141" s="478"/>
      <c r="L141" s="487"/>
      <c r="M141" s="478">
        <f t="shared" si="45"/>
        <v>0</v>
      </c>
      <c r="N141" s="487"/>
      <c r="O141" s="478">
        <f t="shared" si="46"/>
        <v>0</v>
      </c>
      <c r="P141" s="478">
        <f t="shared" si="47"/>
        <v>0</v>
      </c>
    </row>
    <row r="142" spans="2:16">
      <c r="B142" s="160" t="str">
        <f t="shared" si="28"/>
        <v/>
      </c>
      <c r="C142" s="472">
        <f>IF(D93="","-",+C141+1)</f>
        <v>2050</v>
      </c>
      <c r="D142" s="346">
        <f>IF(F141+SUM(E$99:E141)=D$92,F141,D$92-SUM(E$99:E141))</f>
        <v>3107</v>
      </c>
      <c r="E142" s="486">
        <f>IF(+J96&lt;F141,J96,D142)</f>
        <v>1727</v>
      </c>
      <c r="F142" s="485">
        <f t="shared" si="40"/>
        <v>1380</v>
      </c>
      <c r="G142" s="485">
        <f t="shared" si="41"/>
        <v>2243.5</v>
      </c>
      <c r="H142" s="488">
        <f t="shared" si="42"/>
        <v>1968.8745299685695</v>
      </c>
      <c r="I142" s="542">
        <f t="shared" si="43"/>
        <v>1968.8745299685695</v>
      </c>
      <c r="J142" s="478">
        <f t="shared" si="44"/>
        <v>0</v>
      </c>
      <c r="K142" s="478"/>
      <c r="L142" s="487"/>
      <c r="M142" s="478">
        <f t="shared" si="45"/>
        <v>0</v>
      </c>
      <c r="N142" s="487"/>
      <c r="O142" s="478">
        <f t="shared" si="46"/>
        <v>0</v>
      </c>
      <c r="P142" s="478">
        <f t="shared" si="47"/>
        <v>0</v>
      </c>
    </row>
    <row r="143" spans="2:16">
      <c r="B143" s="160" t="str">
        <f t="shared" si="28"/>
        <v/>
      </c>
      <c r="C143" s="472">
        <f>IF(D93="","-",+C142+1)</f>
        <v>2051</v>
      </c>
      <c r="D143" s="346">
        <f>IF(F142+SUM(E$99:E142)=D$92,F142,D$92-SUM(E$99:E142))</f>
        <v>1380</v>
      </c>
      <c r="E143" s="486">
        <f>IF(+J96&lt;F142,J96,D143)</f>
        <v>1380</v>
      </c>
      <c r="F143" s="485">
        <f t="shared" si="40"/>
        <v>0</v>
      </c>
      <c r="G143" s="485">
        <f t="shared" si="41"/>
        <v>690</v>
      </c>
      <c r="H143" s="488">
        <f t="shared" si="42"/>
        <v>1454.3897596070037</v>
      </c>
      <c r="I143" s="542">
        <f t="shared" si="43"/>
        <v>1454.3897596070037</v>
      </c>
      <c r="J143" s="478">
        <f t="shared" si="44"/>
        <v>0</v>
      </c>
      <c r="K143" s="478"/>
      <c r="L143" s="487"/>
      <c r="M143" s="478">
        <f t="shared" si="45"/>
        <v>0</v>
      </c>
      <c r="N143" s="487"/>
      <c r="O143" s="478">
        <f t="shared" si="46"/>
        <v>0</v>
      </c>
      <c r="P143" s="478">
        <f t="shared" si="47"/>
        <v>0</v>
      </c>
    </row>
    <row r="144" spans="2:16">
      <c r="B144" s="160" t="str">
        <f t="shared" si="28"/>
        <v/>
      </c>
      <c r="C144" s="472">
        <f>IF(D93="","-",+C143+1)</f>
        <v>2052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0"/>
        <v>0</v>
      </c>
      <c r="G144" s="485">
        <f t="shared" si="41"/>
        <v>0</v>
      </c>
      <c r="H144" s="488">
        <f t="shared" si="42"/>
        <v>0</v>
      </c>
      <c r="I144" s="542">
        <f t="shared" si="43"/>
        <v>0</v>
      </c>
      <c r="J144" s="478">
        <f t="shared" si="44"/>
        <v>0</v>
      </c>
      <c r="K144" s="478"/>
      <c r="L144" s="487"/>
      <c r="M144" s="478">
        <f t="shared" si="45"/>
        <v>0</v>
      </c>
      <c r="N144" s="487"/>
      <c r="O144" s="478">
        <f t="shared" si="46"/>
        <v>0</v>
      </c>
      <c r="P144" s="478">
        <f t="shared" si="47"/>
        <v>0</v>
      </c>
    </row>
    <row r="145" spans="2:16">
      <c r="B145" s="160" t="str">
        <f t="shared" si="28"/>
        <v/>
      </c>
      <c r="C145" s="472">
        <f>IF(D93="","-",+C144+1)</f>
        <v>2053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0"/>
        <v>0</v>
      </c>
      <c r="G145" s="485">
        <f t="shared" si="41"/>
        <v>0</v>
      </c>
      <c r="H145" s="488">
        <f t="shared" si="42"/>
        <v>0</v>
      </c>
      <c r="I145" s="542">
        <f t="shared" si="43"/>
        <v>0</v>
      </c>
      <c r="J145" s="478">
        <f t="shared" si="44"/>
        <v>0</v>
      </c>
      <c r="K145" s="478"/>
      <c r="L145" s="487"/>
      <c r="M145" s="478">
        <f t="shared" si="45"/>
        <v>0</v>
      </c>
      <c r="N145" s="487"/>
      <c r="O145" s="478">
        <f t="shared" si="46"/>
        <v>0</v>
      </c>
      <c r="P145" s="478">
        <f t="shared" si="47"/>
        <v>0</v>
      </c>
    </row>
    <row r="146" spans="2:16">
      <c r="B146" s="160" t="str">
        <f t="shared" si="28"/>
        <v/>
      </c>
      <c r="C146" s="472">
        <f>IF(D93="","-",+C145+1)</f>
        <v>2054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0"/>
        <v>0</v>
      </c>
      <c r="G146" s="485">
        <f t="shared" si="41"/>
        <v>0</v>
      </c>
      <c r="H146" s="488">
        <f t="shared" si="42"/>
        <v>0</v>
      </c>
      <c r="I146" s="542">
        <f t="shared" si="43"/>
        <v>0</v>
      </c>
      <c r="J146" s="478">
        <f t="shared" si="44"/>
        <v>0</v>
      </c>
      <c r="K146" s="478"/>
      <c r="L146" s="487"/>
      <c r="M146" s="478">
        <f t="shared" si="45"/>
        <v>0</v>
      </c>
      <c r="N146" s="487"/>
      <c r="O146" s="478">
        <f t="shared" si="46"/>
        <v>0</v>
      </c>
      <c r="P146" s="478">
        <f t="shared" si="47"/>
        <v>0</v>
      </c>
    </row>
    <row r="147" spans="2:16">
      <c r="B147" s="160" t="str">
        <f t="shared" si="28"/>
        <v/>
      </c>
      <c r="C147" s="472">
        <f>IF(D93="","-",+C146+1)</f>
        <v>2055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0"/>
        <v>0</v>
      </c>
      <c r="G147" s="485">
        <f t="shared" si="41"/>
        <v>0</v>
      </c>
      <c r="H147" s="488">
        <f t="shared" si="42"/>
        <v>0</v>
      </c>
      <c r="I147" s="542">
        <f t="shared" si="43"/>
        <v>0</v>
      </c>
      <c r="J147" s="478">
        <f t="shared" si="44"/>
        <v>0</v>
      </c>
      <c r="K147" s="478"/>
      <c r="L147" s="487"/>
      <c r="M147" s="478">
        <f t="shared" si="45"/>
        <v>0</v>
      </c>
      <c r="N147" s="487"/>
      <c r="O147" s="478">
        <f t="shared" si="46"/>
        <v>0</v>
      </c>
      <c r="P147" s="478">
        <f t="shared" si="47"/>
        <v>0</v>
      </c>
    </row>
    <row r="148" spans="2:16">
      <c r="B148" s="160" t="str">
        <f t="shared" si="28"/>
        <v/>
      </c>
      <c r="C148" s="472">
        <f>IF(D93="","-",+C147+1)</f>
        <v>2056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0"/>
        <v>0</v>
      </c>
      <c r="G148" s="485">
        <f t="shared" si="41"/>
        <v>0</v>
      </c>
      <c r="H148" s="488">
        <f t="shared" si="42"/>
        <v>0</v>
      </c>
      <c r="I148" s="542">
        <f t="shared" si="43"/>
        <v>0</v>
      </c>
      <c r="J148" s="478">
        <f t="shared" si="44"/>
        <v>0</v>
      </c>
      <c r="K148" s="478"/>
      <c r="L148" s="487"/>
      <c r="M148" s="478">
        <f t="shared" si="45"/>
        <v>0</v>
      </c>
      <c r="N148" s="487"/>
      <c r="O148" s="478">
        <f t="shared" si="46"/>
        <v>0</v>
      </c>
      <c r="P148" s="478">
        <f t="shared" si="47"/>
        <v>0</v>
      </c>
    </row>
    <row r="149" spans="2:16">
      <c r="B149" s="160" t="str">
        <f t="shared" si="28"/>
        <v/>
      </c>
      <c r="C149" s="472">
        <f>IF(D93="","-",+C148+1)</f>
        <v>2057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0"/>
        <v>0</v>
      </c>
      <c r="G149" s="485">
        <f t="shared" si="41"/>
        <v>0</v>
      </c>
      <c r="H149" s="488">
        <f t="shared" si="42"/>
        <v>0</v>
      </c>
      <c r="I149" s="542">
        <f t="shared" si="43"/>
        <v>0</v>
      </c>
      <c r="J149" s="478">
        <f t="shared" si="44"/>
        <v>0</v>
      </c>
      <c r="K149" s="478"/>
      <c r="L149" s="487"/>
      <c r="M149" s="478">
        <f t="shared" si="45"/>
        <v>0</v>
      </c>
      <c r="N149" s="487"/>
      <c r="O149" s="478">
        <f t="shared" si="46"/>
        <v>0</v>
      </c>
      <c r="P149" s="478">
        <f t="shared" si="47"/>
        <v>0</v>
      </c>
    </row>
    <row r="150" spans="2:16">
      <c r="B150" s="160" t="str">
        <f t="shared" si="28"/>
        <v/>
      </c>
      <c r="C150" s="472">
        <f>IF(D93="","-",+C149+1)</f>
        <v>2058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0"/>
        <v>0</v>
      </c>
      <c r="G150" s="485">
        <f t="shared" si="41"/>
        <v>0</v>
      </c>
      <c r="H150" s="488">
        <f t="shared" si="42"/>
        <v>0</v>
      </c>
      <c r="I150" s="542">
        <f t="shared" si="43"/>
        <v>0</v>
      </c>
      <c r="J150" s="478">
        <f t="shared" si="44"/>
        <v>0</v>
      </c>
      <c r="K150" s="478"/>
      <c r="L150" s="487"/>
      <c r="M150" s="478">
        <f t="shared" si="45"/>
        <v>0</v>
      </c>
      <c r="N150" s="487"/>
      <c r="O150" s="478">
        <f t="shared" si="46"/>
        <v>0</v>
      </c>
      <c r="P150" s="478">
        <f t="shared" si="47"/>
        <v>0</v>
      </c>
    </row>
    <row r="151" spans="2:16">
      <c r="B151" s="160" t="str">
        <f t="shared" si="28"/>
        <v/>
      </c>
      <c r="C151" s="472">
        <f>IF(D93="","-",+C150+1)</f>
        <v>2059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0"/>
        <v>0</v>
      </c>
      <c r="G151" s="485">
        <f t="shared" si="41"/>
        <v>0</v>
      </c>
      <c r="H151" s="488">
        <f t="shared" si="42"/>
        <v>0</v>
      </c>
      <c r="I151" s="542">
        <f t="shared" si="43"/>
        <v>0</v>
      </c>
      <c r="J151" s="478">
        <f t="shared" si="44"/>
        <v>0</v>
      </c>
      <c r="K151" s="478"/>
      <c r="L151" s="487"/>
      <c r="M151" s="478">
        <f t="shared" si="45"/>
        <v>0</v>
      </c>
      <c r="N151" s="487"/>
      <c r="O151" s="478">
        <f t="shared" si="46"/>
        <v>0</v>
      </c>
      <c r="P151" s="478">
        <f t="shared" si="47"/>
        <v>0</v>
      </c>
    </row>
    <row r="152" spans="2:16">
      <c r="B152" s="160" t="str">
        <f t="shared" si="28"/>
        <v/>
      </c>
      <c r="C152" s="472">
        <f>IF(D93="","-",+C151+1)</f>
        <v>2060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0"/>
        <v>0</v>
      </c>
      <c r="G152" s="485">
        <f t="shared" si="41"/>
        <v>0</v>
      </c>
      <c r="H152" s="488">
        <f t="shared" si="42"/>
        <v>0</v>
      </c>
      <c r="I152" s="542">
        <f t="shared" si="43"/>
        <v>0</v>
      </c>
      <c r="J152" s="478">
        <f t="shared" si="44"/>
        <v>0</v>
      </c>
      <c r="K152" s="478"/>
      <c r="L152" s="487"/>
      <c r="M152" s="478">
        <f t="shared" si="45"/>
        <v>0</v>
      </c>
      <c r="N152" s="487"/>
      <c r="O152" s="478">
        <f t="shared" si="46"/>
        <v>0</v>
      </c>
      <c r="P152" s="478">
        <f t="shared" si="47"/>
        <v>0</v>
      </c>
    </row>
    <row r="153" spans="2:16">
      <c r="B153" s="160" t="str">
        <f t="shared" si="28"/>
        <v/>
      </c>
      <c r="C153" s="472">
        <f>IF(D93="","-",+C152+1)</f>
        <v>2061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0"/>
        <v>0</v>
      </c>
      <c r="G153" s="485">
        <f t="shared" si="41"/>
        <v>0</v>
      </c>
      <c r="H153" s="488">
        <f t="shared" si="42"/>
        <v>0</v>
      </c>
      <c r="I153" s="542">
        <f t="shared" si="43"/>
        <v>0</v>
      </c>
      <c r="J153" s="478">
        <f t="shared" si="44"/>
        <v>0</v>
      </c>
      <c r="K153" s="478"/>
      <c r="L153" s="487"/>
      <c r="M153" s="478">
        <f t="shared" si="45"/>
        <v>0</v>
      </c>
      <c r="N153" s="487"/>
      <c r="O153" s="478">
        <f t="shared" si="46"/>
        <v>0</v>
      </c>
      <c r="P153" s="478">
        <f t="shared" si="47"/>
        <v>0</v>
      </c>
    </row>
    <row r="154" spans="2:16" ht="13.5" thickBot="1">
      <c r="B154" s="160" t="str">
        <f t="shared" si="28"/>
        <v/>
      </c>
      <c r="C154" s="489">
        <f>IF(D93="","-",+C153+1)</f>
        <v>2062</v>
      </c>
      <c r="D154" s="490">
        <f>IF(F153+SUM(E$99:E153)=D$92,F153,D$92-SUM(E$99:E153))</f>
        <v>0</v>
      </c>
      <c r="E154" s="544">
        <f>IF(+J96&lt;F153,J96,D154)</f>
        <v>0</v>
      </c>
      <c r="F154" s="490">
        <f t="shared" si="40"/>
        <v>0</v>
      </c>
      <c r="G154" s="490">
        <f t="shared" si="41"/>
        <v>0</v>
      </c>
      <c r="H154" s="492">
        <f t="shared" si="42"/>
        <v>0</v>
      </c>
      <c r="I154" s="545">
        <f t="shared" si="43"/>
        <v>0</v>
      </c>
      <c r="J154" s="495">
        <f t="shared" si="44"/>
        <v>0</v>
      </c>
      <c r="K154" s="478"/>
      <c r="L154" s="494"/>
      <c r="M154" s="495">
        <f t="shared" si="45"/>
        <v>0</v>
      </c>
      <c r="N154" s="494"/>
      <c r="O154" s="495">
        <f t="shared" si="46"/>
        <v>0</v>
      </c>
      <c r="P154" s="495">
        <f t="shared" si="47"/>
        <v>0</v>
      </c>
    </row>
    <row r="155" spans="2:16">
      <c r="C155" s="346" t="s">
        <v>77</v>
      </c>
      <c r="D155" s="347"/>
      <c r="E155" s="347">
        <f>SUM(E99:E154)</f>
        <v>72551</v>
      </c>
      <c r="F155" s="347"/>
      <c r="G155" s="347"/>
      <c r="H155" s="347">
        <f>SUM(H99:H154)</f>
        <v>278498.99439066713</v>
      </c>
      <c r="I155" s="347">
        <f>SUM(I99:I154)</f>
        <v>278498.99439066713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0" priority="1" stopIfTrue="1" operator="equal">
      <formula>$I$10</formula>
    </cfRule>
  </conditionalFormatting>
  <conditionalFormatting sqref="C99:C154">
    <cfRule type="cellIs" dxfId="49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00000"/>
  </sheetPr>
  <dimension ref="A1:P162"/>
  <sheetViews>
    <sheetView view="pageBreakPreview" topLeftCell="A10" zoomScale="75" zoomScaleNormal="100" workbookViewId="0">
      <selection activeCell="K28" sqref="K28:M28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10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9919.1904761904771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9919.1904761904771</v>
      </c>
      <c r="O6" s="232"/>
      <c r="P6" s="232"/>
    </row>
    <row r="7" spans="1:16" ht="13.5" thickBot="1">
      <c r="C7" s="431" t="s">
        <v>46</v>
      </c>
      <c r="D7" s="564" t="s">
        <v>258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221</v>
      </c>
      <c r="E9" s="577" t="s">
        <v>345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96566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2299.1904761904761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2010</v>
      </c>
      <c r="D17" s="473">
        <v>135400</v>
      </c>
      <c r="E17" s="474">
        <v>1209</v>
      </c>
      <c r="F17" s="473">
        <v>134191</v>
      </c>
      <c r="G17" s="474">
        <v>20572</v>
      </c>
      <c r="H17" s="481">
        <v>20572</v>
      </c>
      <c r="I17" s="475">
        <f t="shared" ref="I17:I48" si="0">H17-G17</f>
        <v>0</v>
      </c>
      <c r="J17" s="475"/>
      <c r="K17" s="554">
        <f t="shared" ref="K17:K22" si="1">G17</f>
        <v>20572</v>
      </c>
      <c r="L17" s="477">
        <f t="shared" ref="L17:L48" si="2">IF(K17&lt;&gt;0,+G17-K17,0)</f>
        <v>0</v>
      </c>
      <c r="M17" s="554">
        <f t="shared" ref="M17:M22" si="3">H17</f>
        <v>20572</v>
      </c>
      <c r="N17" s="477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2011</v>
      </c>
      <c r="D18" s="479">
        <v>95357</v>
      </c>
      <c r="E18" s="480">
        <v>1893.4509803921569</v>
      </c>
      <c r="F18" s="479">
        <v>93463.549019607846</v>
      </c>
      <c r="G18" s="480">
        <v>16524.450980392157</v>
      </c>
      <c r="H18" s="481">
        <v>16524.450980392157</v>
      </c>
      <c r="I18" s="475">
        <f t="shared" si="0"/>
        <v>0</v>
      </c>
      <c r="J18" s="475"/>
      <c r="K18" s="476">
        <f t="shared" si="1"/>
        <v>16524.450980392157</v>
      </c>
      <c r="L18" s="550">
        <f t="shared" si="2"/>
        <v>0</v>
      </c>
      <c r="M18" s="476">
        <f t="shared" si="3"/>
        <v>16524.450980392157</v>
      </c>
      <c r="N18" s="478">
        <f t="shared" si="4"/>
        <v>0</v>
      </c>
      <c r="O18" s="478">
        <f t="shared" si="5"/>
        <v>0</v>
      </c>
      <c r="P18" s="242"/>
    </row>
    <row r="19" spans="2:16">
      <c r="B19" s="160" t="str">
        <f>IF(D19=F18,"","IU")</f>
        <v/>
      </c>
      <c r="C19" s="472">
        <f>IF(D11="","-",+C18+1)</f>
        <v>2012</v>
      </c>
      <c r="D19" s="479">
        <v>93463.549019607846</v>
      </c>
      <c r="E19" s="480">
        <v>1857.0384615384614</v>
      </c>
      <c r="F19" s="479">
        <v>91606.510558069378</v>
      </c>
      <c r="G19" s="480">
        <v>14609.038461538461</v>
      </c>
      <c r="H19" s="481">
        <v>14609.038461538461</v>
      </c>
      <c r="I19" s="475">
        <f t="shared" si="0"/>
        <v>0</v>
      </c>
      <c r="J19" s="475"/>
      <c r="K19" s="476">
        <f t="shared" si="1"/>
        <v>14609.038461538461</v>
      </c>
      <c r="L19" s="550">
        <f t="shared" si="2"/>
        <v>0</v>
      </c>
      <c r="M19" s="476">
        <f t="shared" si="3"/>
        <v>14609.038461538461</v>
      </c>
      <c r="N19" s="478">
        <f t="shared" si="4"/>
        <v>0</v>
      </c>
      <c r="O19" s="478">
        <f t="shared" si="5"/>
        <v>0</v>
      </c>
      <c r="P19" s="242"/>
    </row>
    <row r="20" spans="2:16">
      <c r="B20" s="160" t="str">
        <f t="shared" ref="B20:B72" si="6">IF(D20=F19,"","IU")</f>
        <v/>
      </c>
      <c r="C20" s="472">
        <f>IF(D11="","-",+C19+1)</f>
        <v>2013</v>
      </c>
      <c r="D20" s="479">
        <v>91606.510558069378</v>
      </c>
      <c r="E20" s="480">
        <v>1857.0384615384614</v>
      </c>
      <c r="F20" s="479">
        <v>89749.47209653091</v>
      </c>
      <c r="G20" s="480">
        <v>14674.038461538461</v>
      </c>
      <c r="H20" s="481">
        <v>14674.038461538461</v>
      </c>
      <c r="I20" s="475">
        <v>0</v>
      </c>
      <c r="J20" s="475"/>
      <c r="K20" s="476">
        <f t="shared" si="1"/>
        <v>14674.038461538461</v>
      </c>
      <c r="L20" s="550">
        <f t="shared" ref="L20:L25" si="7">IF(K20&lt;&gt;0,+G20-K20,0)</f>
        <v>0</v>
      </c>
      <c r="M20" s="476">
        <f t="shared" si="3"/>
        <v>14674.038461538461</v>
      </c>
      <c r="N20" s="478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>
      <c r="B21" s="160" t="str">
        <f t="shared" si="6"/>
        <v/>
      </c>
      <c r="C21" s="472">
        <f>IF(D11="","-",+C20+1)</f>
        <v>2014</v>
      </c>
      <c r="D21" s="479">
        <v>89749.47209653091</v>
      </c>
      <c r="E21" s="480">
        <v>1857.0384615384614</v>
      </c>
      <c r="F21" s="479">
        <v>87892.433634992442</v>
      </c>
      <c r="G21" s="480">
        <v>13956.038461538461</v>
      </c>
      <c r="H21" s="481">
        <v>13956.038461538461</v>
      </c>
      <c r="I21" s="475">
        <v>0</v>
      </c>
      <c r="J21" s="475"/>
      <c r="K21" s="476">
        <f t="shared" si="1"/>
        <v>13956.038461538461</v>
      </c>
      <c r="L21" s="550">
        <f t="shared" si="7"/>
        <v>0</v>
      </c>
      <c r="M21" s="476">
        <f t="shared" si="3"/>
        <v>13956.038461538461</v>
      </c>
      <c r="N21" s="478">
        <f t="shared" si="8"/>
        <v>0</v>
      </c>
      <c r="O21" s="478">
        <f t="shared" si="9"/>
        <v>0</v>
      </c>
      <c r="P21" s="242"/>
    </row>
    <row r="22" spans="2:16">
      <c r="B22" s="160" t="str">
        <f t="shared" si="6"/>
        <v/>
      </c>
      <c r="C22" s="472">
        <f>IF(D11="","-",+C21+1)</f>
        <v>2015</v>
      </c>
      <c r="D22" s="479">
        <v>87892.433634992442</v>
      </c>
      <c r="E22" s="480">
        <v>1857.0384615384614</v>
      </c>
      <c r="F22" s="479">
        <v>86035.395173453973</v>
      </c>
      <c r="G22" s="480">
        <v>13719.038461538461</v>
      </c>
      <c r="H22" s="481">
        <v>13719.038461538461</v>
      </c>
      <c r="I22" s="475">
        <v>0</v>
      </c>
      <c r="J22" s="475"/>
      <c r="K22" s="476">
        <f t="shared" si="1"/>
        <v>13719.038461538461</v>
      </c>
      <c r="L22" s="550">
        <f t="shared" si="7"/>
        <v>0</v>
      </c>
      <c r="M22" s="476">
        <f t="shared" si="3"/>
        <v>13719.038461538461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/>
      </c>
      <c r="C23" s="472">
        <f>IF(D11="","-",+C22+1)</f>
        <v>2016</v>
      </c>
      <c r="D23" s="479">
        <v>86035.395173453973</v>
      </c>
      <c r="E23" s="480">
        <v>1857.0384615384614</v>
      </c>
      <c r="F23" s="479">
        <v>84178.356711915505</v>
      </c>
      <c r="G23" s="480">
        <v>12898.038461538461</v>
      </c>
      <c r="H23" s="481">
        <v>12898.038461538461</v>
      </c>
      <c r="I23" s="475">
        <f t="shared" si="0"/>
        <v>0</v>
      </c>
      <c r="J23" s="475"/>
      <c r="K23" s="476">
        <f t="shared" ref="K23:K28" si="10">G23</f>
        <v>12898.038461538461</v>
      </c>
      <c r="L23" s="550">
        <f t="shared" si="7"/>
        <v>0</v>
      </c>
      <c r="M23" s="476">
        <f t="shared" ref="M23:M28" si="11">H23</f>
        <v>12898.038461538461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2017</v>
      </c>
      <c r="D24" s="479">
        <v>84178.356711915505</v>
      </c>
      <c r="E24" s="480">
        <v>2099.2608695652175</v>
      </c>
      <c r="F24" s="479">
        <v>82079.095842350289</v>
      </c>
      <c r="G24" s="480">
        <v>12544.260869565218</v>
      </c>
      <c r="H24" s="481">
        <v>12544.260869565218</v>
      </c>
      <c r="I24" s="475">
        <f t="shared" si="0"/>
        <v>0</v>
      </c>
      <c r="J24" s="475"/>
      <c r="K24" s="476">
        <f t="shared" si="10"/>
        <v>12544.260869565218</v>
      </c>
      <c r="L24" s="550">
        <f t="shared" si="7"/>
        <v>0</v>
      </c>
      <c r="M24" s="476">
        <f t="shared" si="11"/>
        <v>12544.260869565218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2018</v>
      </c>
      <c r="D25" s="479">
        <v>82079.095842350289</v>
      </c>
      <c r="E25" s="480">
        <v>2145.911111111111</v>
      </c>
      <c r="F25" s="479">
        <v>79933.184731239176</v>
      </c>
      <c r="G25" s="480">
        <v>11847.120662682713</v>
      </c>
      <c r="H25" s="481">
        <v>11847.120662682713</v>
      </c>
      <c r="I25" s="475">
        <f t="shared" si="0"/>
        <v>0</v>
      </c>
      <c r="J25" s="475"/>
      <c r="K25" s="476">
        <f t="shared" si="10"/>
        <v>11847.120662682713</v>
      </c>
      <c r="L25" s="550">
        <f t="shared" si="7"/>
        <v>0</v>
      </c>
      <c r="M25" s="476">
        <f t="shared" si="11"/>
        <v>11847.120662682713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2019</v>
      </c>
      <c r="D26" s="479">
        <v>79933.184731239176</v>
      </c>
      <c r="E26" s="480">
        <v>2414.15</v>
      </c>
      <c r="F26" s="479">
        <v>77519.034731239182</v>
      </c>
      <c r="G26" s="480">
        <v>11204.44220775155</v>
      </c>
      <c r="H26" s="481">
        <v>11204.44220775155</v>
      </c>
      <c r="I26" s="475">
        <f t="shared" si="0"/>
        <v>0</v>
      </c>
      <c r="J26" s="475"/>
      <c r="K26" s="476">
        <f t="shared" si="10"/>
        <v>11204.44220775155</v>
      </c>
      <c r="L26" s="550">
        <f t="shared" ref="L26" si="12">IF(K26&lt;&gt;0,+G26-K26,0)</f>
        <v>0</v>
      </c>
      <c r="M26" s="476">
        <f t="shared" si="11"/>
        <v>11204.44220775155</v>
      </c>
      <c r="N26" s="478">
        <f t="shared" ref="N26" si="13">IF(M26&lt;&gt;0,+H26-M26,0)</f>
        <v>0</v>
      </c>
      <c r="O26" s="478">
        <f t="shared" ref="O26" si="14">+N26-L26</f>
        <v>0</v>
      </c>
      <c r="P26" s="242"/>
    </row>
    <row r="27" spans="2:16">
      <c r="B27" s="566" t="str">
        <f t="shared" si="6"/>
        <v>IU</v>
      </c>
      <c r="C27" s="472">
        <f>IF(D11="","-",+C26+1)</f>
        <v>2020</v>
      </c>
      <c r="D27" s="479">
        <v>77787.273620128064</v>
      </c>
      <c r="E27" s="480">
        <v>2299.1904761904761</v>
      </c>
      <c r="F27" s="479">
        <v>75488.083143937591</v>
      </c>
      <c r="G27" s="480">
        <v>10576.425832738674</v>
      </c>
      <c r="H27" s="481">
        <v>10576.425832738674</v>
      </c>
      <c r="I27" s="475">
        <f t="shared" si="0"/>
        <v>0</v>
      </c>
      <c r="J27" s="475"/>
      <c r="K27" s="476">
        <f t="shared" si="10"/>
        <v>10576.425832738674</v>
      </c>
      <c r="L27" s="550">
        <f t="shared" ref="L27" si="15">IF(K27&lt;&gt;0,+G27-K27,0)</f>
        <v>0</v>
      </c>
      <c r="M27" s="476">
        <f t="shared" si="11"/>
        <v>10576.425832738674</v>
      </c>
      <c r="N27" s="478">
        <f t="shared" si="4"/>
        <v>0</v>
      </c>
      <c r="O27" s="478">
        <f t="shared" si="5"/>
        <v>0</v>
      </c>
      <c r="P27" s="242"/>
    </row>
    <row r="28" spans="2:16">
      <c r="B28" s="160" t="str">
        <f t="shared" si="6"/>
        <v>IU</v>
      </c>
      <c r="C28" s="472">
        <f>IF(D11="","-",+C27+1)</f>
        <v>2021</v>
      </c>
      <c r="D28" s="479">
        <v>75219.844255048723</v>
      </c>
      <c r="E28" s="480">
        <v>2245.7209302325582</v>
      </c>
      <c r="F28" s="479">
        <v>72974.123324816159</v>
      </c>
      <c r="G28" s="480">
        <v>10113.720930232557</v>
      </c>
      <c r="H28" s="481">
        <v>10113.720930232557</v>
      </c>
      <c r="I28" s="475">
        <f t="shared" si="0"/>
        <v>0</v>
      </c>
      <c r="J28" s="475"/>
      <c r="K28" s="476">
        <f t="shared" si="10"/>
        <v>10113.720930232557</v>
      </c>
      <c r="L28" s="550">
        <f t="shared" ref="L28" si="16">IF(K28&lt;&gt;0,+G28-K28,0)</f>
        <v>0</v>
      </c>
      <c r="M28" s="476">
        <f t="shared" si="11"/>
        <v>10113.720930232557</v>
      </c>
      <c r="N28" s="478">
        <f t="shared" si="4"/>
        <v>0</v>
      </c>
      <c r="O28" s="478">
        <f t="shared" si="5"/>
        <v>0</v>
      </c>
      <c r="P28" s="242"/>
    </row>
    <row r="29" spans="2:16">
      <c r="B29" s="160" t="str">
        <f t="shared" si="6"/>
        <v/>
      </c>
      <c r="C29" s="472">
        <f>IF(D11="","-",+C28+1)</f>
        <v>2022</v>
      </c>
      <c r="D29" s="485">
        <f>IF(F28+SUM(E$17:E28)=D$10,F28,D$10-SUM(E$17:E28))</f>
        <v>72974.123324816159</v>
      </c>
      <c r="E29" s="484">
        <f>IF(+I14&lt;F28,I14,D29)</f>
        <v>2299.1904761904761</v>
      </c>
      <c r="F29" s="485">
        <f t="shared" ref="F29:F48" si="17">+D29-E29</f>
        <v>70674.932848625685</v>
      </c>
      <c r="G29" s="486">
        <f t="shared" ref="G29:G72" si="18">ROUND(I$12*F29,0)+E29</f>
        <v>9919.1904761904771</v>
      </c>
      <c r="H29" s="455">
        <f t="shared" ref="H29:H72" si="19">ROUND(I$13*F29,0)+E29</f>
        <v>9919.1904761904771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70674.932848625685</v>
      </c>
      <c r="E30" s="484">
        <f>IF(+I14&lt;F29,I14,D30)</f>
        <v>2299.1904761904761</v>
      </c>
      <c r="F30" s="485">
        <f t="shared" si="17"/>
        <v>68375.742372435212</v>
      </c>
      <c r="G30" s="486">
        <f t="shared" si="18"/>
        <v>9671.1904761904771</v>
      </c>
      <c r="H30" s="455">
        <f t="shared" si="19"/>
        <v>9671.1904761904771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68375.742372435212</v>
      </c>
      <c r="E31" s="484">
        <f>IF(+I14&lt;F30,I14,D31)</f>
        <v>2299.1904761904761</v>
      </c>
      <c r="F31" s="485">
        <f t="shared" si="17"/>
        <v>66076.551896244739</v>
      </c>
      <c r="G31" s="486">
        <f t="shared" si="18"/>
        <v>9423.1904761904771</v>
      </c>
      <c r="H31" s="455">
        <f t="shared" si="19"/>
        <v>9423.1904761904771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66076.551896244739</v>
      </c>
      <c r="E32" s="484">
        <f>IF(+I14&lt;F31,I14,D32)</f>
        <v>2299.1904761904761</v>
      </c>
      <c r="F32" s="485">
        <f t="shared" si="17"/>
        <v>63777.361420054265</v>
      </c>
      <c r="G32" s="486">
        <f t="shared" si="18"/>
        <v>9175.1904761904771</v>
      </c>
      <c r="H32" s="455">
        <f t="shared" si="19"/>
        <v>9175.1904761904771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63777.361420054265</v>
      </c>
      <c r="E33" s="484">
        <f>IF(+I14&lt;F32,I14,D33)</f>
        <v>2299.1904761904761</v>
      </c>
      <c r="F33" s="485">
        <f t="shared" si="17"/>
        <v>61478.170943863792</v>
      </c>
      <c r="G33" s="486">
        <f t="shared" si="18"/>
        <v>8927.1904761904771</v>
      </c>
      <c r="H33" s="455">
        <f t="shared" si="19"/>
        <v>8927.1904761904771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61478.170943863792</v>
      </c>
      <c r="E34" s="484">
        <f>IF(+I14&lt;F33,I14,D34)</f>
        <v>2299.1904761904761</v>
      </c>
      <c r="F34" s="485">
        <f t="shared" si="17"/>
        <v>59178.980467673318</v>
      </c>
      <c r="G34" s="486">
        <f t="shared" si="18"/>
        <v>8679.1904761904771</v>
      </c>
      <c r="H34" s="455">
        <f t="shared" si="19"/>
        <v>8679.1904761904771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59178.980467673318</v>
      </c>
      <c r="E35" s="484">
        <f>IF(+I14&lt;F34,I14,D35)</f>
        <v>2299.1904761904761</v>
      </c>
      <c r="F35" s="485">
        <f t="shared" si="17"/>
        <v>56879.789991482845</v>
      </c>
      <c r="G35" s="486">
        <f t="shared" si="18"/>
        <v>8431.1904761904771</v>
      </c>
      <c r="H35" s="455">
        <f t="shared" si="19"/>
        <v>8431.1904761904771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56879.789991482845</v>
      </c>
      <c r="E36" s="484">
        <f>IF(+I14&lt;F35,I14,D36)</f>
        <v>2299.1904761904761</v>
      </c>
      <c r="F36" s="485">
        <f t="shared" si="17"/>
        <v>54580.599515292372</v>
      </c>
      <c r="G36" s="486">
        <f t="shared" si="18"/>
        <v>8183.1904761904761</v>
      </c>
      <c r="H36" s="455">
        <f t="shared" si="19"/>
        <v>8183.1904761904761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54580.599515292372</v>
      </c>
      <c r="E37" s="484">
        <f>IF(+I14&lt;F36,I14,D37)</f>
        <v>2299.1904761904761</v>
      </c>
      <c r="F37" s="485">
        <f t="shared" si="17"/>
        <v>52281.409039101898</v>
      </c>
      <c r="G37" s="486">
        <f t="shared" si="18"/>
        <v>7936.1904761904761</v>
      </c>
      <c r="H37" s="455">
        <f t="shared" si="19"/>
        <v>7936.1904761904761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52281.409039101898</v>
      </c>
      <c r="E38" s="484">
        <f>IF(+I14&lt;F37,I14,D38)</f>
        <v>2299.1904761904761</v>
      </c>
      <c r="F38" s="485">
        <f t="shared" si="17"/>
        <v>49982.218562911425</v>
      </c>
      <c r="G38" s="486">
        <f t="shared" si="18"/>
        <v>7688.1904761904761</v>
      </c>
      <c r="H38" s="455">
        <f t="shared" si="19"/>
        <v>7688.1904761904761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49982.218562911425</v>
      </c>
      <c r="E39" s="484">
        <f>IF(+I14&lt;F38,I14,D39)</f>
        <v>2299.1904761904761</v>
      </c>
      <c r="F39" s="485">
        <f t="shared" si="17"/>
        <v>47683.028086720951</v>
      </c>
      <c r="G39" s="486">
        <f t="shared" si="18"/>
        <v>7440.1904761904761</v>
      </c>
      <c r="H39" s="455">
        <f t="shared" si="19"/>
        <v>7440.1904761904761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47683.028086720951</v>
      </c>
      <c r="E40" s="484">
        <f>IF(+I14&lt;F39,I14,D40)</f>
        <v>2299.1904761904761</v>
      </c>
      <c r="F40" s="485">
        <f t="shared" si="17"/>
        <v>45383.837610530478</v>
      </c>
      <c r="G40" s="486">
        <f t="shared" si="18"/>
        <v>7192.1904761904761</v>
      </c>
      <c r="H40" s="455">
        <f t="shared" si="19"/>
        <v>7192.1904761904761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45383.837610530478</v>
      </c>
      <c r="E41" s="484">
        <f>IF(+I14&lt;F40,I14,D41)</f>
        <v>2299.1904761904761</v>
      </c>
      <c r="F41" s="485">
        <f t="shared" si="17"/>
        <v>43084.647134340004</v>
      </c>
      <c r="G41" s="486">
        <f t="shared" si="18"/>
        <v>6944.1904761904761</v>
      </c>
      <c r="H41" s="455">
        <f t="shared" si="19"/>
        <v>6944.1904761904761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43084.647134340004</v>
      </c>
      <c r="E42" s="484">
        <f>IF(+I14&lt;F41,I14,D42)</f>
        <v>2299.1904761904761</v>
      </c>
      <c r="F42" s="485">
        <f t="shared" si="17"/>
        <v>40785.456658149531</v>
      </c>
      <c r="G42" s="486">
        <f t="shared" si="18"/>
        <v>6696.1904761904761</v>
      </c>
      <c r="H42" s="455">
        <f t="shared" si="19"/>
        <v>6696.1904761904761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40785.456658149531</v>
      </c>
      <c r="E43" s="484">
        <f>IF(+I14&lt;F42,I14,D43)</f>
        <v>2299.1904761904761</v>
      </c>
      <c r="F43" s="485">
        <f t="shared" si="17"/>
        <v>38486.266181959058</v>
      </c>
      <c r="G43" s="486">
        <f t="shared" si="18"/>
        <v>6448.1904761904761</v>
      </c>
      <c r="H43" s="455">
        <f t="shared" si="19"/>
        <v>6448.1904761904761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38486.266181959058</v>
      </c>
      <c r="E44" s="484">
        <f>IF(+I14&lt;F43,I14,D44)</f>
        <v>2299.1904761904761</v>
      </c>
      <c r="F44" s="485">
        <f t="shared" si="17"/>
        <v>36187.075705768584</v>
      </c>
      <c r="G44" s="486">
        <f t="shared" si="18"/>
        <v>6200.1904761904761</v>
      </c>
      <c r="H44" s="455">
        <f t="shared" si="19"/>
        <v>6200.1904761904761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36187.075705768584</v>
      </c>
      <c r="E45" s="484">
        <f>IF(+I14&lt;F44,I14,D45)</f>
        <v>2299.1904761904761</v>
      </c>
      <c r="F45" s="485">
        <f t="shared" si="17"/>
        <v>33887.885229578111</v>
      </c>
      <c r="G45" s="486">
        <f t="shared" si="18"/>
        <v>5952.1904761904761</v>
      </c>
      <c r="H45" s="455">
        <f t="shared" si="19"/>
        <v>5952.1904761904761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33887.885229578111</v>
      </c>
      <c r="E46" s="484">
        <f>IF(+I14&lt;F45,I14,D46)</f>
        <v>2299.1904761904761</v>
      </c>
      <c r="F46" s="485">
        <f t="shared" si="17"/>
        <v>31588.694753387634</v>
      </c>
      <c r="G46" s="486">
        <f t="shared" si="18"/>
        <v>5705.1904761904761</v>
      </c>
      <c r="H46" s="455">
        <f t="shared" si="19"/>
        <v>5705.1904761904761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31588.694753387634</v>
      </c>
      <c r="E47" s="484">
        <f>IF(+I14&lt;F46,I14,D47)</f>
        <v>2299.1904761904761</v>
      </c>
      <c r="F47" s="485">
        <f t="shared" si="17"/>
        <v>29289.504277197157</v>
      </c>
      <c r="G47" s="486">
        <f t="shared" si="18"/>
        <v>5457.1904761904761</v>
      </c>
      <c r="H47" s="455">
        <f t="shared" si="19"/>
        <v>5457.1904761904761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29289.504277197157</v>
      </c>
      <c r="E48" s="484">
        <f>IF(+I14&lt;F47,I14,D48)</f>
        <v>2299.1904761904761</v>
      </c>
      <c r="F48" s="485">
        <f t="shared" si="17"/>
        <v>26990.31380100668</v>
      </c>
      <c r="G48" s="486">
        <f t="shared" si="18"/>
        <v>5209.1904761904761</v>
      </c>
      <c r="H48" s="455">
        <f t="shared" si="19"/>
        <v>5209.1904761904761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26990.31380100668</v>
      </c>
      <c r="E49" s="484">
        <f>IF(+I14&lt;F48,I14,D49)</f>
        <v>2299.1904761904761</v>
      </c>
      <c r="F49" s="485">
        <f t="shared" ref="F49:F72" si="20">+D49-E49</f>
        <v>24691.123324816203</v>
      </c>
      <c r="G49" s="486">
        <f t="shared" si="18"/>
        <v>4961.1904761904761</v>
      </c>
      <c r="H49" s="455">
        <f t="shared" si="19"/>
        <v>4961.1904761904761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6"/>
        <v/>
      </c>
      <c r="C50" s="472">
        <f>IF(D11="","-",+C49+1)</f>
        <v>2043</v>
      </c>
      <c r="D50" s="485">
        <f>IF(F49+SUM(E$17:E49)=D$10,F49,D$10-SUM(E$17:E49))</f>
        <v>24691.123324816203</v>
      </c>
      <c r="E50" s="484">
        <f>IF(+I14&lt;F49,I14,D50)</f>
        <v>2299.1904761904761</v>
      </c>
      <c r="F50" s="485">
        <f t="shared" si="20"/>
        <v>22391.932848625725</v>
      </c>
      <c r="G50" s="486">
        <f t="shared" si="18"/>
        <v>4713.1904761904761</v>
      </c>
      <c r="H50" s="455">
        <f t="shared" si="19"/>
        <v>4713.1904761904761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6"/>
        <v/>
      </c>
      <c r="C51" s="472">
        <f>IF(D11="","-",+C50+1)</f>
        <v>2044</v>
      </c>
      <c r="D51" s="485">
        <f>IF(F50+SUM(E$17:E50)=D$10,F50,D$10-SUM(E$17:E50))</f>
        <v>22391.932848625725</v>
      </c>
      <c r="E51" s="484">
        <f>IF(+I14&lt;F50,I14,D51)</f>
        <v>2299.1904761904761</v>
      </c>
      <c r="F51" s="485">
        <f t="shared" si="20"/>
        <v>20092.742372435248</v>
      </c>
      <c r="G51" s="486">
        <f t="shared" si="18"/>
        <v>4465.1904761904761</v>
      </c>
      <c r="H51" s="455">
        <f t="shared" si="19"/>
        <v>4465.1904761904761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6"/>
        <v/>
      </c>
      <c r="C52" s="472">
        <f>IF(D11="","-",+C51+1)</f>
        <v>2045</v>
      </c>
      <c r="D52" s="485">
        <f>IF(F51+SUM(E$17:E51)=D$10,F51,D$10-SUM(E$17:E51))</f>
        <v>20092.742372435248</v>
      </c>
      <c r="E52" s="484">
        <f>IF(+I14&lt;F51,I14,D52)</f>
        <v>2299.1904761904761</v>
      </c>
      <c r="F52" s="485">
        <f t="shared" si="20"/>
        <v>17793.551896244771</v>
      </c>
      <c r="G52" s="486">
        <f t="shared" si="18"/>
        <v>4217.1904761904761</v>
      </c>
      <c r="H52" s="455">
        <f t="shared" si="19"/>
        <v>4217.1904761904761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6"/>
        <v/>
      </c>
      <c r="C53" s="472">
        <f>IF(D11="","-",+C52+1)</f>
        <v>2046</v>
      </c>
      <c r="D53" s="485">
        <f>IF(F52+SUM(E$17:E52)=D$10,F52,D$10-SUM(E$17:E52))</f>
        <v>17793.551896244771</v>
      </c>
      <c r="E53" s="484">
        <f>IF(+I14&lt;F52,I14,D53)</f>
        <v>2299.1904761904761</v>
      </c>
      <c r="F53" s="485">
        <f t="shared" si="20"/>
        <v>15494.361420054294</v>
      </c>
      <c r="G53" s="486">
        <f t="shared" si="18"/>
        <v>3969.1904761904761</v>
      </c>
      <c r="H53" s="455">
        <f t="shared" si="19"/>
        <v>3969.1904761904761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6"/>
        <v/>
      </c>
      <c r="C54" s="472">
        <f>IF(D11="","-",+C53+1)</f>
        <v>2047</v>
      </c>
      <c r="D54" s="485">
        <f>IF(F53+SUM(E$17:E53)=D$10,F53,D$10-SUM(E$17:E53))</f>
        <v>15494.361420054294</v>
      </c>
      <c r="E54" s="484">
        <f>IF(+I14&lt;F53,I14,D54)</f>
        <v>2299.1904761904761</v>
      </c>
      <c r="F54" s="485">
        <f t="shared" si="20"/>
        <v>13195.170943863817</v>
      </c>
      <c r="G54" s="486">
        <f t="shared" si="18"/>
        <v>3722.1904761904761</v>
      </c>
      <c r="H54" s="455">
        <f t="shared" si="19"/>
        <v>3722.1904761904761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6"/>
        <v/>
      </c>
      <c r="C55" s="472">
        <f>IF(D11="","-",+C54+1)</f>
        <v>2048</v>
      </c>
      <c r="D55" s="485">
        <f>IF(F54+SUM(E$17:E54)=D$10,F54,D$10-SUM(E$17:E54))</f>
        <v>13195.170943863817</v>
      </c>
      <c r="E55" s="484">
        <f>IF(+I14&lt;F54,I14,D55)</f>
        <v>2299.1904761904761</v>
      </c>
      <c r="F55" s="485">
        <f t="shared" si="20"/>
        <v>10895.98046767334</v>
      </c>
      <c r="G55" s="486">
        <f t="shared" si="18"/>
        <v>3474.1904761904761</v>
      </c>
      <c r="H55" s="455">
        <f t="shared" si="19"/>
        <v>3474.1904761904761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6"/>
        <v/>
      </c>
      <c r="C56" s="472">
        <f>IF(D11="","-",+C55+1)</f>
        <v>2049</v>
      </c>
      <c r="D56" s="485">
        <f>IF(F55+SUM(E$17:E55)=D$10,F55,D$10-SUM(E$17:E55))</f>
        <v>10895.98046767334</v>
      </c>
      <c r="E56" s="484">
        <f>IF(+I14&lt;F55,I14,D56)</f>
        <v>2299.1904761904761</v>
      </c>
      <c r="F56" s="485">
        <f t="shared" si="20"/>
        <v>8596.7899914828631</v>
      </c>
      <c r="G56" s="486">
        <f t="shared" si="18"/>
        <v>3226.1904761904761</v>
      </c>
      <c r="H56" s="455">
        <f t="shared" si="19"/>
        <v>3226.1904761904761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6"/>
        <v/>
      </c>
      <c r="C57" s="472">
        <f>IF(D11="","-",+C56+1)</f>
        <v>2050</v>
      </c>
      <c r="D57" s="485">
        <f>IF(F56+SUM(E$17:E56)=D$10,F56,D$10-SUM(E$17:E56))</f>
        <v>8596.7899914828631</v>
      </c>
      <c r="E57" s="484">
        <f>IF(+I14&lt;F56,I14,D57)</f>
        <v>2299.1904761904761</v>
      </c>
      <c r="F57" s="485">
        <f t="shared" si="20"/>
        <v>6297.599515292387</v>
      </c>
      <c r="G57" s="486">
        <f t="shared" si="18"/>
        <v>2978.1904761904761</v>
      </c>
      <c r="H57" s="455">
        <f t="shared" si="19"/>
        <v>2978.1904761904761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6"/>
        <v/>
      </c>
      <c r="C58" s="472">
        <f>IF(D11="","-",+C57+1)</f>
        <v>2051</v>
      </c>
      <c r="D58" s="485">
        <f>IF(F57+SUM(E$17:E57)=D$10,F57,D$10-SUM(E$17:E57))</f>
        <v>6297.599515292387</v>
      </c>
      <c r="E58" s="484">
        <f>IF(+I14&lt;F57,I14,D58)</f>
        <v>2299.1904761904761</v>
      </c>
      <c r="F58" s="485">
        <f t="shared" si="20"/>
        <v>3998.4090391019108</v>
      </c>
      <c r="G58" s="486">
        <f t="shared" si="18"/>
        <v>2730.1904761904761</v>
      </c>
      <c r="H58" s="455">
        <f t="shared" si="19"/>
        <v>2730.1904761904761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6"/>
        <v/>
      </c>
      <c r="C59" s="472">
        <f>IF(D11="","-",+C58+1)</f>
        <v>2052</v>
      </c>
      <c r="D59" s="485">
        <f>IF(F58+SUM(E$17:E58)=D$10,F58,D$10-SUM(E$17:E58))</f>
        <v>3998.4090391019108</v>
      </c>
      <c r="E59" s="484">
        <f>IF(+I14&lt;F58,I14,D59)</f>
        <v>2299.1904761904761</v>
      </c>
      <c r="F59" s="485">
        <f t="shared" si="20"/>
        <v>1699.2185629114347</v>
      </c>
      <c r="G59" s="486">
        <f t="shared" si="18"/>
        <v>2482.1904761904761</v>
      </c>
      <c r="H59" s="455">
        <f t="shared" si="19"/>
        <v>2482.1904761904761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6"/>
        <v/>
      </c>
      <c r="C60" s="472">
        <f>IF(D11="","-",+C59+1)</f>
        <v>2053</v>
      </c>
      <c r="D60" s="485">
        <f>IF(F59+SUM(E$17:E59)=D$10,F59,D$10-SUM(E$17:E59))</f>
        <v>1699.2185629114347</v>
      </c>
      <c r="E60" s="484">
        <f>IF(+I14&lt;F59,I14,D60)</f>
        <v>1699.2185629114347</v>
      </c>
      <c r="F60" s="485">
        <f t="shared" si="20"/>
        <v>0</v>
      </c>
      <c r="G60" s="486">
        <f t="shared" si="18"/>
        <v>1699.2185629114347</v>
      </c>
      <c r="H60" s="455">
        <f t="shared" si="19"/>
        <v>1699.2185629114347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6"/>
        <v/>
      </c>
      <c r="C61" s="472">
        <f>IF(D11="","-",+C60+1)</f>
        <v>2054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0"/>
        <v>0</v>
      </c>
      <c r="G61" s="488">
        <f t="shared" si="18"/>
        <v>0</v>
      </c>
      <c r="H61" s="455">
        <f t="shared" si="19"/>
        <v>0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6"/>
        <v/>
      </c>
      <c r="C62" s="472">
        <f>IF(D11="","-",+C61+1)</f>
        <v>2055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160" t="str">
        <f t="shared" si="6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6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>
      <c r="B65" s="565" t="str">
        <f t="shared" si="6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>
      <c r="B66" s="160" t="str">
        <f t="shared" si="6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>
      <c r="B67" s="160" t="str">
        <f t="shared" si="6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>
      <c r="B68" s="160" t="str">
        <f t="shared" si="6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>
      <c r="B69" s="160" t="str">
        <f t="shared" si="6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>
      <c r="B70" s="160" t="str">
        <f t="shared" si="6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>
      <c r="B71" s="160" t="str">
        <f t="shared" si="6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>
      <c r="C73" s="346" t="s">
        <v>77</v>
      </c>
      <c r="D73" s="347"/>
      <c r="E73" s="347">
        <f>SUM(E17:E72)</f>
        <v>96565.999999999956</v>
      </c>
      <c r="F73" s="347"/>
      <c r="G73" s="347">
        <f>SUM(G17:G72)</f>
        <v>357155.73711587134</v>
      </c>
      <c r="H73" s="347">
        <f>SUM(H17:H72)</f>
        <v>357155.73711587134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10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10576.425832738674</v>
      </c>
      <c r="N87" s="508">
        <f>IF(J92&lt;D11,0,VLOOKUP(J92,C17:O72,11))</f>
        <v>10576.425832738674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11056.151171153304</v>
      </c>
      <c r="N88" s="512">
        <f>IF(J92&lt;D11,0,VLOOKUP(J92,C99:P154,7))</f>
        <v>11056.151171153304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Wavetrap Clinton City-Foss Tap 69kV Ckt 1*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479.72533841462973</v>
      </c>
      <c r="N89" s="517">
        <f>+N88-N87</f>
        <v>479.72533841462973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96566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2299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2010</v>
      </c>
      <c r="D99" s="473">
        <v>0</v>
      </c>
      <c r="E99" s="480">
        <v>946.5</v>
      </c>
      <c r="F99" s="479">
        <v>95619.5</v>
      </c>
      <c r="G99" s="537">
        <v>47809.75</v>
      </c>
      <c r="H99" s="538">
        <v>8635.0355480484341</v>
      </c>
      <c r="I99" s="539">
        <v>8635.0355480484341</v>
      </c>
      <c r="J99" s="478">
        <f t="shared" ref="J99:J130" si="25">+I99-H99</f>
        <v>0</v>
      </c>
      <c r="K99" s="478"/>
      <c r="L99" s="567">
        <f t="shared" ref="L99:L104" si="26">H99</f>
        <v>8635.0355480484341</v>
      </c>
      <c r="M99" s="568">
        <f t="shared" ref="M99:M130" si="27">IF(L99&lt;&gt;0,+H99-L99,0)</f>
        <v>0</v>
      </c>
      <c r="N99" s="567">
        <f t="shared" ref="N99:N104" si="28">I99</f>
        <v>8635.0355480484341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2011</v>
      </c>
      <c r="D100" s="473">
        <v>95619.5</v>
      </c>
      <c r="E100" s="480">
        <v>1857</v>
      </c>
      <c r="F100" s="479">
        <v>93762.5</v>
      </c>
      <c r="G100" s="479">
        <v>94691</v>
      </c>
      <c r="H100" s="480">
        <v>15096.07425133265</v>
      </c>
      <c r="I100" s="481">
        <v>15096.07425133265</v>
      </c>
      <c r="J100" s="478">
        <f t="shared" si="25"/>
        <v>0</v>
      </c>
      <c r="K100" s="478"/>
      <c r="L100" s="540">
        <f t="shared" si="26"/>
        <v>15096.07425133265</v>
      </c>
      <c r="M100" s="541">
        <f t="shared" si="27"/>
        <v>0</v>
      </c>
      <c r="N100" s="540">
        <f t="shared" si="28"/>
        <v>15096.07425133265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2012</v>
      </c>
      <c r="D101" s="473">
        <v>93762.5</v>
      </c>
      <c r="E101" s="480">
        <v>1857</v>
      </c>
      <c r="F101" s="479">
        <v>91905.5</v>
      </c>
      <c r="G101" s="479">
        <v>92834</v>
      </c>
      <c r="H101" s="480">
        <v>15211.679797187964</v>
      </c>
      <c r="I101" s="481">
        <v>15211.679797187964</v>
      </c>
      <c r="J101" s="478">
        <v>0</v>
      </c>
      <c r="K101" s="478"/>
      <c r="L101" s="540">
        <f t="shared" si="26"/>
        <v>15211.679797187964</v>
      </c>
      <c r="M101" s="541">
        <f t="shared" ref="M101:M106" si="32">IF(L101&lt;&gt;0,+H101-L101,0)</f>
        <v>0</v>
      </c>
      <c r="N101" s="540">
        <f t="shared" si="28"/>
        <v>15211.679797187964</v>
      </c>
      <c r="O101" s="478">
        <f t="shared" ref="O101:O106" si="33">IF(N101&lt;&gt;0,+I101-N101,0)</f>
        <v>0</v>
      </c>
      <c r="P101" s="478">
        <f t="shared" ref="P101:P106" si="34">+O101-M101</f>
        <v>0</v>
      </c>
    </row>
    <row r="102" spans="1:16">
      <c r="B102" s="160" t="str">
        <f t="shared" si="31"/>
        <v/>
      </c>
      <c r="C102" s="472">
        <f>IF(D93="","-",+C101+1)</f>
        <v>2013</v>
      </c>
      <c r="D102" s="473">
        <v>91905.5</v>
      </c>
      <c r="E102" s="480">
        <v>1857</v>
      </c>
      <c r="F102" s="479">
        <v>90048.5</v>
      </c>
      <c r="G102" s="479">
        <v>90977</v>
      </c>
      <c r="H102" s="480">
        <v>14952.192437840908</v>
      </c>
      <c r="I102" s="481">
        <v>14952.192437840908</v>
      </c>
      <c r="J102" s="478">
        <v>0</v>
      </c>
      <c r="K102" s="478"/>
      <c r="L102" s="540">
        <f t="shared" si="26"/>
        <v>14952.192437840908</v>
      </c>
      <c r="M102" s="541">
        <f t="shared" si="32"/>
        <v>0</v>
      </c>
      <c r="N102" s="540">
        <f t="shared" si="28"/>
        <v>14952.192437840908</v>
      </c>
      <c r="O102" s="478">
        <f t="shared" si="33"/>
        <v>0</v>
      </c>
      <c r="P102" s="478">
        <f t="shared" si="34"/>
        <v>0</v>
      </c>
    </row>
    <row r="103" spans="1:16">
      <c r="B103" s="160" t="str">
        <f t="shared" si="31"/>
        <v/>
      </c>
      <c r="C103" s="472">
        <f>IF(D93="","-",+C102+1)</f>
        <v>2014</v>
      </c>
      <c r="D103" s="473">
        <v>90048.5</v>
      </c>
      <c r="E103" s="480">
        <v>1857</v>
      </c>
      <c r="F103" s="479">
        <v>88191.5</v>
      </c>
      <c r="G103" s="479">
        <v>89120</v>
      </c>
      <c r="H103" s="480">
        <v>14386.907699066522</v>
      </c>
      <c r="I103" s="481">
        <v>14386.907699066522</v>
      </c>
      <c r="J103" s="478">
        <v>0</v>
      </c>
      <c r="K103" s="478"/>
      <c r="L103" s="540">
        <f t="shared" si="26"/>
        <v>14386.907699066522</v>
      </c>
      <c r="M103" s="541">
        <f t="shared" si="32"/>
        <v>0</v>
      </c>
      <c r="N103" s="540">
        <f t="shared" si="28"/>
        <v>14386.907699066522</v>
      </c>
      <c r="O103" s="478">
        <f t="shared" si="33"/>
        <v>0</v>
      </c>
      <c r="P103" s="478">
        <f t="shared" si="34"/>
        <v>0</v>
      </c>
    </row>
    <row r="104" spans="1:16">
      <c r="B104" s="160" t="str">
        <f t="shared" si="31"/>
        <v/>
      </c>
      <c r="C104" s="472">
        <f>IF(D93="","-",+C103+1)</f>
        <v>2015</v>
      </c>
      <c r="D104" s="473">
        <v>88191.5</v>
      </c>
      <c r="E104" s="480">
        <v>1857</v>
      </c>
      <c r="F104" s="479">
        <v>86334.5</v>
      </c>
      <c r="G104" s="479">
        <v>87263</v>
      </c>
      <c r="H104" s="480">
        <v>13763.334720904193</v>
      </c>
      <c r="I104" s="481">
        <v>13763.334720904193</v>
      </c>
      <c r="J104" s="478">
        <f t="shared" si="25"/>
        <v>0</v>
      </c>
      <c r="K104" s="478"/>
      <c r="L104" s="540">
        <f t="shared" si="26"/>
        <v>13763.334720904193</v>
      </c>
      <c r="M104" s="541">
        <f t="shared" si="32"/>
        <v>0</v>
      </c>
      <c r="N104" s="540">
        <f t="shared" si="28"/>
        <v>13763.334720904193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2016</v>
      </c>
      <c r="D105" s="473">
        <v>86334.5</v>
      </c>
      <c r="E105" s="480">
        <v>2099</v>
      </c>
      <c r="F105" s="479">
        <v>84235.5</v>
      </c>
      <c r="G105" s="479">
        <v>85285</v>
      </c>
      <c r="H105" s="480">
        <v>13093.579642748955</v>
      </c>
      <c r="I105" s="481">
        <v>13093.579642748955</v>
      </c>
      <c r="J105" s="478">
        <f t="shared" si="25"/>
        <v>0</v>
      </c>
      <c r="K105" s="478"/>
      <c r="L105" s="540">
        <f>H105</f>
        <v>13093.579642748955</v>
      </c>
      <c r="M105" s="541">
        <f t="shared" si="32"/>
        <v>0</v>
      </c>
      <c r="N105" s="540">
        <f>I105</f>
        <v>13093.579642748955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2017</v>
      </c>
      <c r="D106" s="473">
        <v>84235.5</v>
      </c>
      <c r="E106" s="480">
        <v>2099</v>
      </c>
      <c r="F106" s="479">
        <v>82136.5</v>
      </c>
      <c r="G106" s="479">
        <v>83186</v>
      </c>
      <c r="H106" s="480">
        <v>12651.353853573521</v>
      </c>
      <c r="I106" s="481">
        <v>12651.353853573521</v>
      </c>
      <c r="J106" s="478">
        <f t="shared" si="25"/>
        <v>0</v>
      </c>
      <c r="K106" s="478"/>
      <c r="L106" s="540">
        <f>H106</f>
        <v>12651.353853573521</v>
      </c>
      <c r="M106" s="541">
        <f t="shared" si="32"/>
        <v>0</v>
      </c>
      <c r="N106" s="540">
        <f>I106</f>
        <v>12651.353853573521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2018</v>
      </c>
      <c r="D107" s="473">
        <v>82136.5</v>
      </c>
      <c r="E107" s="480">
        <v>2246</v>
      </c>
      <c r="F107" s="479">
        <v>79890.5</v>
      </c>
      <c r="G107" s="479">
        <v>81013.5</v>
      </c>
      <c r="H107" s="480">
        <v>10568.967843132519</v>
      </c>
      <c r="I107" s="481">
        <v>10568.967843132519</v>
      </c>
      <c r="J107" s="478">
        <f t="shared" si="25"/>
        <v>0</v>
      </c>
      <c r="K107" s="478"/>
      <c r="L107" s="540">
        <f>H107</f>
        <v>10568.967843132519</v>
      </c>
      <c r="M107" s="541">
        <f t="shared" ref="M107" si="35">IF(L107&lt;&gt;0,+H107-L107,0)</f>
        <v>0</v>
      </c>
      <c r="N107" s="540">
        <f>I107</f>
        <v>10568.967843132519</v>
      </c>
      <c r="O107" s="478">
        <f t="shared" ref="O107" si="36">IF(N107&lt;&gt;0,+I107-N107,0)</f>
        <v>0</v>
      </c>
      <c r="P107" s="478">
        <f t="shared" ref="P107" si="37">+O107-M107</f>
        <v>0</v>
      </c>
    </row>
    <row r="108" spans="1:16">
      <c r="B108" s="160" t="str">
        <f t="shared" si="31"/>
        <v/>
      </c>
      <c r="C108" s="472">
        <f>IF(D93="","-",+C107+1)</f>
        <v>2019</v>
      </c>
      <c r="D108" s="473">
        <v>79890.5</v>
      </c>
      <c r="E108" s="480">
        <v>2355</v>
      </c>
      <c r="F108" s="479">
        <v>77535.5</v>
      </c>
      <c r="G108" s="479">
        <v>78713</v>
      </c>
      <c r="H108" s="480">
        <v>10471.414334884656</v>
      </c>
      <c r="I108" s="481">
        <v>10471.414334884656</v>
      </c>
      <c r="J108" s="478">
        <f t="shared" si="25"/>
        <v>0</v>
      </c>
      <c r="K108" s="478"/>
      <c r="L108" s="540">
        <f>H108</f>
        <v>10471.414334884656</v>
      </c>
      <c r="M108" s="541">
        <f t="shared" ref="M108:M109" si="38">IF(L108&lt;&gt;0,+H108-L108,0)</f>
        <v>0</v>
      </c>
      <c r="N108" s="540">
        <f>I108</f>
        <v>10471.414334884656</v>
      </c>
      <c r="O108" s="478">
        <f t="shared" si="29"/>
        <v>0</v>
      </c>
      <c r="P108" s="478">
        <f t="shared" si="30"/>
        <v>0</v>
      </c>
    </row>
    <row r="109" spans="1:16">
      <c r="B109" s="160" t="str">
        <f t="shared" si="31"/>
        <v/>
      </c>
      <c r="C109" s="472">
        <f>IF(D93="","-",+C108+1)</f>
        <v>2020</v>
      </c>
      <c r="D109" s="473">
        <v>77535.5</v>
      </c>
      <c r="E109" s="480">
        <v>2246</v>
      </c>
      <c r="F109" s="479">
        <v>75289.5</v>
      </c>
      <c r="G109" s="479">
        <v>76412.5</v>
      </c>
      <c r="H109" s="480">
        <v>11056.151171153304</v>
      </c>
      <c r="I109" s="481">
        <v>11056.151171153304</v>
      </c>
      <c r="J109" s="478">
        <f t="shared" si="25"/>
        <v>0</v>
      </c>
      <c r="K109" s="478"/>
      <c r="L109" s="540">
        <f>H109</f>
        <v>11056.151171153304</v>
      </c>
      <c r="M109" s="541">
        <f t="shared" si="38"/>
        <v>0</v>
      </c>
      <c r="N109" s="540">
        <f>I109</f>
        <v>11056.151171153304</v>
      </c>
      <c r="O109" s="478">
        <f t="shared" si="29"/>
        <v>0</v>
      </c>
      <c r="P109" s="478">
        <f t="shared" si="30"/>
        <v>0</v>
      </c>
    </row>
    <row r="110" spans="1:16">
      <c r="B110" s="160" t="str">
        <f t="shared" si="31"/>
        <v/>
      </c>
      <c r="C110" s="472">
        <f>IF(D93="","-",+C109+1)</f>
        <v>2021</v>
      </c>
      <c r="D110" s="346">
        <f>IF(F109+SUM(E$99:E109)=D$92,F109,D$92-SUM(E$99:E109))</f>
        <v>75289.5</v>
      </c>
      <c r="E110" s="486">
        <f>IF(+J96&lt;F109,J96,D110)</f>
        <v>2299</v>
      </c>
      <c r="F110" s="485">
        <f t="shared" ref="F110:F129" si="39">+D110-E110</f>
        <v>72990.5</v>
      </c>
      <c r="G110" s="485">
        <f t="shared" ref="G110:G129" si="40">+(F110+D110)/2</f>
        <v>74140</v>
      </c>
      <c r="H110" s="488">
        <f t="shared" ref="H110:H130" si="41">+J$94*G110+E110</f>
        <v>10292.12576414965</v>
      </c>
      <c r="I110" s="542">
        <f t="shared" ref="I110:I130" si="42">+J$95*G110+E110</f>
        <v>10292.12576414965</v>
      </c>
      <c r="J110" s="478">
        <f t="shared" si="25"/>
        <v>0</v>
      </c>
      <c r="K110" s="478"/>
      <c r="L110" s="487"/>
      <c r="M110" s="478">
        <f t="shared" si="27"/>
        <v>0</v>
      </c>
      <c r="N110" s="487"/>
      <c r="O110" s="478">
        <f t="shared" si="29"/>
        <v>0</v>
      </c>
      <c r="P110" s="478">
        <f t="shared" si="30"/>
        <v>0</v>
      </c>
    </row>
    <row r="111" spans="1:16">
      <c r="B111" s="160" t="str">
        <f t="shared" si="31"/>
        <v/>
      </c>
      <c r="C111" s="472">
        <f>IF(D93="","-",+C110+1)</f>
        <v>2022</v>
      </c>
      <c r="D111" s="346">
        <f>IF(F110+SUM(E$99:E110)=D$92,F110,D$92-SUM(E$99:E110))</f>
        <v>72990.5</v>
      </c>
      <c r="E111" s="486">
        <f>IF(+J96&lt;F110,J96,D111)</f>
        <v>2299</v>
      </c>
      <c r="F111" s="485">
        <f t="shared" si="39"/>
        <v>70691.5</v>
      </c>
      <c r="G111" s="485">
        <f t="shared" si="40"/>
        <v>71841</v>
      </c>
      <c r="H111" s="488">
        <f t="shared" si="41"/>
        <v>10044.267710038777</v>
      </c>
      <c r="I111" s="542">
        <f t="shared" si="42"/>
        <v>10044.267710038777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2023</v>
      </c>
      <c r="D112" s="346">
        <f>IF(F111+SUM(E$99:E111)=D$92,F111,D$92-SUM(E$99:E111))</f>
        <v>70691.5</v>
      </c>
      <c r="E112" s="486">
        <f>IF(+J96&lt;F111,J96,D112)</f>
        <v>2299</v>
      </c>
      <c r="F112" s="485">
        <f t="shared" si="39"/>
        <v>68392.5</v>
      </c>
      <c r="G112" s="485">
        <f t="shared" si="40"/>
        <v>69542</v>
      </c>
      <c r="H112" s="488">
        <f t="shared" si="41"/>
        <v>9796.409655927906</v>
      </c>
      <c r="I112" s="542">
        <f t="shared" si="42"/>
        <v>9796.409655927906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2024</v>
      </c>
      <c r="D113" s="346">
        <f>IF(F112+SUM(E$99:E112)=D$92,F112,D$92-SUM(E$99:E112))</f>
        <v>68392.5</v>
      </c>
      <c r="E113" s="486">
        <f>IF(+J96&lt;F112,J96,D113)</f>
        <v>2299</v>
      </c>
      <c r="F113" s="485">
        <f t="shared" si="39"/>
        <v>66093.5</v>
      </c>
      <c r="G113" s="485">
        <f t="shared" si="40"/>
        <v>67243</v>
      </c>
      <c r="H113" s="488">
        <f t="shared" si="41"/>
        <v>9548.5516018170347</v>
      </c>
      <c r="I113" s="542">
        <f t="shared" si="42"/>
        <v>9548.5516018170347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2025</v>
      </c>
      <c r="D114" s="346">
        <f>IF(F113+SUM(E$99:E113)=D$92,F113,D$92-SUM(E$99:E113))</f>
        <v>66093.5</v>
      </c>
      <c r="E114" s="486">
        <f>IF(+J96&lt;F113,J96,D114)</f>
        <v>2299</v>
      </c>
      <c r="F114" s="485">
        <f t="shared" si="39"/>
        <v>63794.5</v>
      </c>
      <c r="G114" s="485">
        <f t="shared" si="40"/>
        <v>64944</v>
      </c>
      <c r="H114" s="488">
        <f t="shared" si="41"/>
        <v>9300.6935477061634</v>
      </c>
      <c r="I114" s="542">
        <f t="shared" si="42"/>
        <v>9300.6935477061634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2026</v>
      </c>
      <c r="D115" s="346">
        <f>IF(F114+SUM(E$99:E114)=D$92,F114,D$92-SUM(E$99:E114))</f>
        <v>63794.5</v>
      </c>
      <c r="E115" s="486">
        <f>IF(+J96&lt;F114,J96,D115)</f>
        <v>2299</v>
      </c>
      <c r="F115" s="485">
        <f t="shared" si="39"/>
        <v>61495.5</v>
      </c>
      <c r="G115" s="485">
        <f t="shared" si="40"/>
        <v>62645</v>
      </c>
      <c r="H115" s="488">
        <f t="shared" si="41"/>
        <v>9052.8354935952902</v>
      </c>
      <c r="I115" s="542">
        <f t="shared" si="42"/>
        <v>9052.8354935952902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2027</v>
      </c>
      <c r="D116" s="346">
        <f>IF(F115+SUM(E$99:E115)=D$92,F115,D$92-SUM(E$99:E115))</f>
        <v>61495.5</v>
      </c>
      <c r="E116" s="486">
        <f>IF(+J96&lt;F115,J96,D116)</f>
        <v>2299</v>
      </c>
      <c r="F116" s="485">
        <f t="shared" si="39"/>
        <v>59196.5</v>
      </c>
      <c r="G116" s="485">
        <f t="shared" si="40"/>
        <v>60346</v>
      </c>
      <c r="H116" s="488">
        <f t="shared" si="41"/>
        <v>8804.9774394844171</v>
      </c>
      <c r="I116" s="542">
        <f t="shared" si="42"/>
        <v>8804.9774394844171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2028</v>
      </c>
      <c r="D117" s="346">
        <f>IF(F116+SUM(E$99:E116)=D$92,F116,D$92-SUM(E$99:E116))</f>
        <v>59196.5</v>
      </c>
      <c r="E117" s="486">
        <f>IF(+J96&lt;F116,J96,D117)</f>
        <v>2299</v>
      </c>
      <c r="F117" s="485">
        <f t="shared" si="39"/>
        <v>56897.5</v>
      </c>
      <c r="G117" s="485">
        <f t="shared" si="40"/>
        <v>58047</v>
      </c>
      <c r="H117" s="488">
        <f t="shared" si="41"/>
        <v>8557.1193853735458</v>
      </c>
      <c r="I117" s="542">
        <f t="shared" si="42"/>
        <v>8557.1193853735458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2029</v>
      </c>
      <c r="D118" s="346">
        <f>IF(F117+SUM(E$99:E117)=D$92,F117,D$92-SUM(E$99:E117))</f>
        <v>56897.5</v>
      </c>
      <c r="E118" s="486">
        <f>IF(+J96&lt;F117,J96,D118)</f>
        <v>2299</v>
      </c>
      <c r="F118" s="485">
        <f t="shared" si="39"/>
        <v>54598.5</v>
      </c>
      <c r="G118" s="485">
        <f t="shared" si="40"/>
        <v>55748</v>
      </c>
      <c r="H118" s="488">
        <f t="shared" si="41"/>
        <v>8309.2613312626745</v>
      </c>
      <c r="I118" s="542">
        <f t="shared" si="42"/>
        <v>8309.2613312626745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2030</v>
      </c>
      <c r="D119" s="346">
        <f>IF(F118+SUM(E$99:E118)=D$92,F118,D$92-SUM(E$99:E118))</f>
        <v>54598.5</v>
      </c>
      <c r="E119" s="486">
        <f>IF(+J96&lt;F118,J96,D119)</f>
        <v>2299</v>
      </c>
      <c r="F119" s="485">
        <f t="shared" si="39"/>
        <v>52299.5</v>
      </c>
      <c r="G119" s="485">
        <f t="shared" si="40"/>
        <v>53449</v>
      </c>
      <c r="H119" s="488">
        <f t="shared" si="41"/>
        <v>8061.4032771518023</v>
      </c>
      <c r="I119" s="542">
        <f t="shared" si="42"/>
        <v>8061.4032771518023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2031</v>
      </c>
      <c r="D120" s="346">
        <f>IF(F119+SUM(E$99:E119)=D$92,F119,D$92-SUM(E$99:E119))</f>
        <v>52299.5</v>
      </c>
      <c r="E120" s="486">
        <f>IF(+J96&lt;F119,J96,D120)</f>
        <v>2299</v>
      </c>
      <c r="F120" s="485">
        <f t="shared" si="39"/>
        <v>50000.5</v>
      </c>
      <c r="G120" s="485">
        <f t="shared" si="40"/>
        <v>51150</v>
      </c>
      <c r="H120" s="488">
        <f t="shared" si="41"/>
        <v>7813.545223040931</v>
      </c>
      <c r="I120" s="542">
        <f t="shared" si="42"/>
        <v>7813.545223040931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2032</v>
      </c>
      <c r="D121" s="346">
        <f>IF(F120+SUM(E$99:E120)=D$92,F120,D$92-SUM(E$99:E120))</f>
        <v>50000.5</v>
      </c>
      <c r="E121" s="486">
        <f>IF(+J96&lt;F120,J96,D121)</f>
        <v>2299</v>
      </c>
      <c r="F121" s="485">
        <f t="shared" si="39"/>
        <v>47701.5</v>
      </c>
      <c r="G121" s="485">
        <f t="shared" si="40"/>
        <v>48851</v>
      </c>
      <c r="H121" s="488">
        <f t="shared" si="41"/>
        <v>7565.6871689300588</v>
      </c>
      <c r="I121" s="542">
        <f t="shared" si="42"/>
        <v>7565.6871689300588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2033</v>
      </c>
      <c r="D122" s="346">
        <f>IF(F121+SUM(E$99:E121)=D$92,F121,D$92-SUM(E$99:E121))</f>
        <v>47701.5</v>
      </c>
      <c r="E122" s="486">
        <f>IF(+J96&lt;F121,J96,D122)</f>
        <v>2299</v>
      </c>
      <c r="F122" s="485">
        <f t="shared" si="39"/>
        <v>45402.5</v>
      </c>
      <c r="G122" s="485">
        <f t="shared" si="40"/>
        <v>46552</v>
      </c>
      <c r="H122" s="488">
        <f t="shared" si="41"/>
        <v>7317.8291148191865</v>
      </c>
      <c r="I122" s="542">
        <f t="shared" si="42"/>
        <v>7317.8291148191865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2034</v>
      </c>
      <c r="D123" s="346">
        <f>IF(F122+SUM(E$99:E122)=D$92,F122,D$92-SUM(E$99:E122))</f>
        <v>45402.5</v>
      </c>
      <c r="E123" s="486">
        <f>IF(+J96&lt;F122,J96,D123)</f>
        <v>2299</v>
      </c>
      <c r="F123" s="485">
        <f t="shared" si="39"/>
        <v>43103.5</v>
      </c>
      <c r="G123" s="485">
        <f t="shared" si="40"/>
        <v>44253</v>
      </c>
      <c r="H123" s="488">
        <f t="shared" si="41"/>
        <v>7069.9710607083152</v>
      </c>
      <c r="I123" s="542">
        <f t="shared" si="42"/>
        <v>7069.9710607083152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2035</v>
      </c>
      <c r="D124" s="346">
        <f>IF(F123+SUM(E$99:E123)=D$92,F123,D$92-SUM(E$99:E123))</f>
        <v>43103.5</v>
      </c>
      <c r="E124" s="486">
        <f>IF(+J96&lt;F123,J96,D124)</f>
        <v>2299</v>
      </c>
      <c r="F124" s="485">
        <f t="shared" si="39"/>
        <v>40804.5</v>
      </c>
      <c r="G124" s="485">
        <f t="shared" si="40"/>
        <v>41954</v>
      </c>
      <c r="H124" s="488">
        <f t="shared" si="41"/>
        <v>6822.113006597443</v>
      </c>
      <c r="I124" s="542">
        <f t="shared" si="42"/>
        <v>6822.113006597443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2036</v>
      </c>
      <c r="D125" s="346">
        <f>IF(F124+SUM(E$99:E124)=D$92,F124,D$92-SUM(E$99:E124))</f>
        <v>40804.5</v>
      </c>
      <c r="E125" s="486">
        <f>IF(+J96&lt;F124,J96,D125)</f>
        <v>2299</v>
      </c>
      <c r="F125" s="485">
        <f t="shared" si="39"/>
        <v>38505.5</v>
      </c>
      <c r="G125" s="485">
        <f t="shared" si="40"/>
        <v>39655</v>
      </c>
      <c r="H125" s="488">
        <f t="shared" si="41"/>
        <v>6574.2549524865708</v>
      </c>
      <c r="I125" s="542">
        <f t="shared" si="42"/>
        <v>6574.2549524865708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2037</v>
      </c>
      <c r="D126" s="346">
        <f>IF(F125+SUM(E$99:E125)=D$92,F125,D$92-SUM(E$99:E125))</f>
        <v>38505.5</v>
      </c>
      <c r="E126" s="486">
        <f>IF(+J96&lt;F125,J96,D126)</f>
        <v>2299</v>
      </c>
      <c r="F126" s="485">
        <f t="shared" si="39"/>
        <v>36206.5</v>
      </c>
      <c r="G126" s="485">
        <f t="shared" si="40"/>
        <v>37356</v>
      </c>
      <c r="H126" s="488">
        <f t="shared" si="41"/>
        <v>6326.3968983756986</v>
      </c>
      <c r="I126" s="542">
        <f t="shared" si="42"/>
        <v>6326.3968983756986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2038</v>
      </c>
      <c r="D127" s="346">
        <f>IF(F126+SUM(E$99:E126)=D$92,F126,D$92-SUM(E$99:E126))</f>
        <v>36206.5</v>
      </c>
      <c r="E127" s="486">
        <f>IF(+J96&lt;F126,J96,D127)</f>
        <v>2299</v>
      </c>
      <c r="F127" s="485">
        <f t="shared" si="39"/>
        <v>33907.5</v>
      </c>
      <c r="G127" s="485">
        <f t="shared" si="40"/>
        <v>35057</v>
      </c>
      <c r="H127" s="488">
        <f t="shared" si="41"/>
        <v>6078.5388442648273</v>
      </c>
      <c r="I127" s="542">
        <f t="shared" si="42"/>
        <v>6078.5388442648273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2039</v>
      </c>
      <c r="D128" s="346">
        <f>IF(F127+SUM(E$99:E127)=D$92,F127,D$92-SUM(E$99:E127))</f>
        <v>33907.5</v>
      </c>
      <c r="E128" s="486">
        <f>IF(+J96&lt;F127,J96,D128)</f>
        <v>2299</v>
      </c>
      <c r="F128" s="485">
        <f t="shared" si="39"/>
        <v>31608.5</v>
      </c>
      <c r="G128" s="485">
        <f t="shared" si="40"/>
        <v>32758</v>
      </c>
      <c r="H128" s="488">
        <f t="shared" si="41"/>
        <v>5830.6807901539551</v>
      </c>
      <c r="I128" s="542">
        <f t="shared" si="42"/>
        <v>5830.6807901539551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2040</v>
      </c>
      <c r="D129" s="346">
        <f>IF(F128+SUM(E$99:E128)=D$92,F128,D$92-SUM(E$99:E128))</f>
        <v>31608.5</v>
      </c>
      <c r="E129" s="486">
        <f>IF(+J96&lt;F128,J96,D129)</f>
        <v>2299</v>
      </c>
      <c r="F129" s="485">
        <f t="shared" si="39"/>
        <v>29309.5</v>
      </c>
      <c r="G129" s="485">
        <f t="shared" si="40"/>
        <v>30459</v>
      </c>
      <c r="H129" s="488">
        <f t="shared" si="41"/>
        <v>5582.8227360430828</v>
      </c>
      <c r="I129" s="542">
        <f t="shared" si="42"/>
        <v>5582.8227360430828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2041</v>
      </c>
      <c r="D130" s="346">
        <f>IF(F129+SUM(E$99:E129)=D$92,F129,D$92-SUM(E$99:E129))</f>
        <v>29309.5</v>
      </c>
      <c r="E130" s="486">
        <f>IF(+J96&lt;F129,J96,D130)</f>
        <v>2299</v>
      </c>
      <c r="F130" s="485">
        <f t="shared" ref="F130:F145" si="43">+D130-E130</f>
        <v>27010.5</v>
      </c>
      <c r="G130" s="485">
        <f t="shared" ref="G130:G145" si="44">+(F130+D130)/2</f>
        <v>28160</v>
      </c>
      <c r="H130" s="488">
        <f t="shared" si="41"/>
        <v>5334.9646819322115</v>
      </c>
      <c r="I130" s="542">
        <f t="shared" si="42"/>
        <v>5334.9646819322115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2042</v>
      </c>
      <c r="D131" s="346">
        <f>IF(F130+SUM(E$99:E130)=D$92,F130,D$92-SUM(E$99:E130))</f>
        <v>27010.5</v>
      </c>
      <c r="E131" s="486">
        <f>IF(+J96&lt;F130,J96,D131)</f>
        <v>2299</v>
      </c>
      <c r="F131" s="485">
        <f t="shared" si="43"/>
        <v>24711.5</v>
      </c>
      <c r="G131" s="485">
        <f t="shared" si="44"/>
        <v>25861</v>
      </c>
      <c r="H131" s="488">
        <f t="shared" ref="H131:H154" si="45">+J$94*G131+E131</f>
        <v>5087.1066278213393</v>
      </c>
      <c r="I131" s="542">
        <f t="shared" ref="I131:I154" si="46">+J$95*G131+E131</f>
        <v>5087.1066278213393</v>
      </c>
      <c r="J131" s="478">
        <f t="shared" ref="J131:J154" si="47">+I541-H541</f>
        <v>0</v>
      </c>
      <c r="K131" s="478"/>
      <c r="L131" s="487"/>
      <c r="M131" s="478">
        <f t="shared" ref="M131:M154" si="48">IF(L541&lt;&gt;0,+H541-L541,0)</f>
        <v>0</v>
      </c>
      <c r="N131" s="487"/>
      <c r="O131" s="478">
        <f t="shared" ref="O131:O154" si="49">IF(N541&lt;&gt;0,+I541-N541,0)</f>
        <v>0</v>
      </c>
      <c r="P131" s="478">
        <f t="shared" ref="P131:P154" si="50">+O541-M541</f>
        <v>0</v>
      </c>
    </row>
    <row r="132" spans="2:16">
      <c r="B132" s="160" t="str">
        <f t="shared" si="31"/>
        <v/>
      </c>
      <c r="C132" s="472">
        <f>IF(D93="","-",+C131+1)</f>
        <v>2043</v>
      </c>
      <c r="D132" s="346">
        <f>IF(F131+SUM(E$99:E131)=D$92,F131,D$92-SUM(E$99:E131))</f>
        <v>24711.5</v>
      </c>
      <c r="E132" s="486">
        <f>IF(+J96&lt;F131,J96,D132)</f>
        <v>2299</v>
      </c>
      <c r="F132" s="485">
        <f t="shared" si="43"/>
        <v>22412.5</v>
      </c>
      <c r="G132" s="485">
        <f t="shared" si="44"/>
        <v>23562</v>
      </c>
      <c r="H132" s="488">
        <f t="shared" si="45"/>
        <v>4839.2485737104671</v>
      </c>
      <c r="I132" s="542">
        <f t="shared" si="46"/>
        <v>4839.2485737104671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31"/>
        <v/>
      </c>
      <c r="C133" s="472">
        <f>IF(D93="","-",+C132+1)</f>
        <v>2044</v>
      </c>
      <c r="D133" s="346">
        <f>IF(F132+SUM(E$99:E132)=D$92,F132,D$92-SUM(E$99:E132))</f>
        <v>22412.5</v>
      </c>
      <c r="E133" s="486">
        <f>IF(+J96&lt;F132,J96,D133)</f>
        <v>2299</v>
      </c>
      <c r="F133" s="485">
        <f t="shared" si="43"/>
        <v>20113.5</v>
      </c>
      <c r="G133" s="485">
        <f t="shared" si="44"/>
        <v>21263</v>
      </c>
      <c r="H133" s="488">
        <f t="shared" si="45"/>
        <v>4591.3905195995958</v>
      </c>
      <c r="I133" s="542">
        <f t="shared" si="46"/>
        <v>4591.3905195995958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31"/>
        <v/>
      </c>
      <c r="C134" s="472">
        <f>IF(D93="","-",+C133+1)</f>
        <v>2045</v>
      </c>
      <c r="D134" s="346">
        <f>IF(F133+SUM(E$99:E133)=D$92,F133,D$92-SUM(E$99:E133))</f>
        <v>20113.5</v>
      </c>
      <c r="E134" s="486">
        <f>IF(+J96&lt;F133,J96,D134)</f>
        <v>2299</v>
      </c>
      <c r="F134" s="485">
        <f t="shared" si="43"/>
        <v>17814.5</v>
      </c>
      <c r="G134" s="485">
        <f t="shared" si="44"/>
        <v>18964</v>
      </c>
      <c r="H134" s="488">
        <f t="shared" si="45"/>
        <v>4343.5324654887236</v>
      </c>
      <c r="I134" s="542">
        <f t="shared" si="46"/>
        <v>4343.5324654887236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31"/>
        <v/>
      </c>
      <c r="C135" s="472">
        <f>IF(D93="","-",+C134+1)</f>
        <v>2046</v>
      </c>
      <c r="D135" s="346">
        <f>IF(F134+SUM(E$99:E134)=D$92,F134,D$92-SUM(E$99:E134))</f>
        <v>17814.5</v>
      </c>
      <c r="E135" s="486">
        <f>IF(+J96&lt;F134,J96,D135)</f>
        <v>2299</v>
      </c>
      <c r="F135" s="485">
        <f t="shared" si="43"/>
        <v>15515.5</v>
      </c>
      <c r="G135" s="485">
        <f t="shared" si="44"/>
        <v>16665</v>
      </c>
      <c r="H135" s="488">
        <f t="shared" si="45"/>
        <v>4095.6744113778514</v>
      </c>
      <c r="I135" s="542">
        <f t="shared" si="46"/>
        <v>4095.6744113778514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31"/>
        <v/>
      </c>
      <c r="C136" s="472">
        <f>IF(D93="","-",+C135+1)</f>
        <v>2047</v>
      </c>
      <c r="D136" s="346">
        <f>IF(F135+SUM(E$99:E135)=D$92,F135,D$92-SUM(E$99:E135))</f>
        <v>15515.5</v>
      </c>
      <c r="E136" s="486">
        <f>IF(+J96&lt;F135,J96,D136)</f>
        <v>2299</v>
      </c>
      <c r="F136" s="485">
        <f t="shared" si="43"/>
        <v>13216.5</v>
      </c>
      <c r="G136" s="485">
        <f t="shared" si="44"/>
        <v>14366</v>
      </c>
      <c r="H136" s="488">
        <f t="shared" si="45"/>
        <v>3847.8163572669796</v>
      </c>
      <c r="I136" s="542">
        <f t="shared" si="46"/>
        <v>3847.8163572669796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31"/>
        <v/>
      </c>
      <c r="C137" s="472">
        <f>IF(D93="","-",+C136+1)</f>
        <v>2048</v>
      </c>
      <c r="D137" s="346">
        <f>IF(F136+SUM(E$99:E136)=D$92,F136,D$92-SUM(E$99:E136))</f>
        <v>13216.5</v>
      </c>
      <c r="E137" s="486">
        <f>IF(+J96&lt;F136,J96,D137)</f>
        <v>2299</v>
      </c>
      <c r="F137" s="485">
        <f t="shared" si="43"/>
        <v>10917.5</v>
      </c>
      <c r="G137" s="485">
        <f t="shared" si="44"/>
        <v>12067</v>
      </c>
      <c r="H137" s="488">
        <f t="shared" si="45"/>
        <v>3599.9583031561078</v>
      </c>
      <c r="I137" s="542">
        <f t="shared" si="46"/>
        <v>3599.9583031561078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31"/>
        <v/>
      </c>
      <c r="C138" s="472">
        <f>IF(D93="","-",+C137+1)</f>
        <v>2049</v>
      </c>
      <c r="D138" s="346">
        <f>IF(F137+SUM(E$99:E137)=D$92,F137,D$92-SUM(E$99:E137))</f>
        <v>10917.5</v>
      </c>
      <c r="E138" s="486">
        <f>IF(+J96&lt;F137,J96,D138)</f>
        <v>2299</v>
      </c>
      <c r="F138" s="485">
        <f t="shared" si="43"/>
        <v>8618.5</v>
      </c>
      <c r="G138" s="485">
        <f t="shared" si="44"/>
        <v>9768</v>
      </c>
      <c r="H138" s="488">
        <f t="shared" si="45"/>
        <v>3352.1002490452356</v>
      </c>
      <c r="I138" s="542">
        <f t="shared" si="46"/>
        <v>3352.1002490452356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31"/>
        <v/>
      </c>
      <c r="C139" s="472">
        <f>IF(D93="","-",+C138+1)</f>
        <v>2050</v>
      </c>
      <c r="D139" s="346">
        <f>IF(F138+SUM(E$99:E138)=D$92,F138,D$92-SUM(E$99:E138))</f>
        <v>8618.5</v>
      </c>
      <c r="E139" s="486">
        <f>IF(+J96&lt;F138,J96,D139)</f>
        <v>2299</v>
      </c>
      <c r="F139" s="485">
        <f t="shared" si="43"/>
        <v>6319.5</v>
      </c>
      <c r="G139" s="485">
        <f t="shared" si="44"/>
        <v>7469</v>
      </c>
      <c r="H139" s="488">
        <f t="shared" si="45"/>
        <v>3104.2421949343639</v>
      </c>
      <c r="I139" s="542">
        <f t="shared" si="46"/>
        <v>3104.2421949343639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31"/>
        <v/>
      </c>
      <c r="C140" s="472">
        <f>IF(D93="","-",+C139+1)</f>
        <v>2051</v>
      </c>
      <c r="D140" s="346">
        <f>IF(F139+SUM(E$99:E139)=D$92,F139,D$92-SUM(E$99:E139))</f>
        <v>6319.5</v>
      </c>
      <c r="E140" s="486">
        <f>IF(+J96&lt;F139,J96,D140)</f>
        <v>2299</v>
      </c>
      <c r="F140" s="485">
        <f t="shared" si="43"/>
        <v>4020.5</v>
      </c>
      <c r="G140" s="485">
        <f t="shared" si="44"/>
        <v>5170</v>
      </c>
      <c r="H140" s="488">
        <f t="shared" si="45"/>
        <v>2856.3841408234921</v>
      </c>
      <c r="I140" s="542">
        <f t="shared" si="46"/>
        <v>2856.3841408234921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31"/>
        <v/>
      </c>
      <c r="C141" s="472">
        <f>IF(D93="","-",+C140+1)</f>
        <v>2052</v>
      </c>
      <c r="D141" s="346">
        <f>IF(F140+SUM(E$99:E140)=D$92,F140,D$92-SUM(E$99:E140))</f>
        <v>4020.5</v>
      </c>
      <c r="E141" s="486">
        <f>IF(+J96&lt;F140,J96,D141)</f>
        <v>2299</v>
      </c>
      <c r="F141" s="485">
        <f t="shared" si="43"/>
        <v>1721.5</v>
      </c>
      <c r="G141" s="485">
        <f t="shared" si="44"/>
        <v>2871</v>
      </c>
      <c r="H141" s="488">
        <f t="shared" si="45"/>
        <v>2608.5260867126199</v>
      </c>
      <c r="I141" s="542">
        <f t="shared" si="46"/>
        <v>2608.5260867126199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31"/>
        <v/>
      </c>
      <c r="C142" s="472">
        <f>IF(D93="","-",+C141+1)</f>
        <v>2053</v>
      </c>
      <c r="D142" s="346">
        <f>IF(F141+SUM(E$99:E141)=D$92,F141,D$92-SUM(E$99:E141))</f>
        <v>1721.5</v>
      </c>
      <c r="E142" s="486">
        <f>IF(+J96&lt;F141,J96,D142)</f>
        <v>1721.5</v>
      </c>
      <c r="F142" s="485">
        <f t="shared" si="43"/>
        <v>0</v>
      </c>
      <c r="G142" s="485">
        <f t="shared" si="44"/>
        <v>860.75</v>
      </c>
      <c r="H142" s="488">
        <f t="shared" si="45"/>
        <v>1814.2985298285921</v>
      </c>
      <c r="I142" s="542">
        <f t="shared" si="46"/>
        <v>1814.2985298285921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31"/>
        <v/>
      </c>
      <c r="C143" s="472">
        <f>IF(D93="","-",+C142+1)</f>
        <v>2054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3"/>
        <v>0</v>
      </c>
      <c r="G143" s="485">
        <f t="shared" si="44"/>
        <v>0</v>
      </c>
      <c r="H143" s="488">
        <f t="shared" si="45"/>
        <v>0</v>
      </c>
      <c r="I143" s="542">
        <f t="shared" si="46"/>
        <v>0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31"/>
        <v/>
      </c>
      <c r="C144" s="472">
        <f>IF(D93="","-",+C143+1)</f>
        <v>2055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3"/>
        <v>0</v>
      </c>
      <c r="G144" s="485">
        <f t="shared" si="44"/>
        <v>0</v>
      </c>
      <c r="H144" s="488">
        <f t="shared" si="45"/>
        <v>0</v>
      </c>
      <c r="I144" s="542">
        <f t="shared" si="46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31"/>
        <v/>
      </c>
      <c r="C145" s="472">
        <f>IF(D93="","-",+C144+1)</f>
        <v>2056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3"/>
        <v>0</v>
      </c>
      <c r="G145" s="485">
        <f t="shared" si="44"/>
        <v>0</v>
      </c>
      <c r="H145" s="488">
        <f t="shared" si="45"/>
        <v>0</v>
      </c>
      <c r="I145" s="542">
        <f t="shared" si="46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31"/>
        <v/>
      </c>
      <c r="C146" s="472">
        <f>IF(D93="","-",+C145+1)</f>
        <v>2057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ref="F146:F154" si="51">+D146-E146</f>
        <v>0</v>
      </c>
      <c r="G146" s="485">
        <f t="shared" ref="G146:G154" si="52">+(F146+D146)/2</f>
        <v>0</v>
      </c>
      <c r="H146" s="488">
        <f t="shared" si="45"/>
        <v>0</v>
      </c>
      <c r="I146" s="542">
        <f t="shared" si="46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31"/>
        <v/>
      </c>
      <c r="C147" s="472">
        <f>IF(D93="","-",+C146+1)</f>
        <v>2058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51"/>
        <v>0</v>
      </c>
      <c r="G147" s="485">
        <f t="shared" si="52"/>
        <v>0</v>
      </c>
      <c r="H147" s="488">
        <f t="shared" si="45"/>
        <v>0</v>
      </c>
      <c r="I147" s="542">
        <f t="shared" si="46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31"/>
        <v/>
      </c>
      <c r="C148" s="472">
        <f>IF(D93="","-",+C147+1)</f>
        <v>2059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51"/>
        <v>0</v>
      </c>
      <c r="G148" s="485">
        <f t="shared" si="52"/>
        <v>0</v>
      </c>
      <c r="H148" s="488">
        <f t="shared" si="45"/>
        <v>0</v>
      </c>
      <c r="I148" s="542">
        <f t="shared" si="46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31"/>
        <v/>
      </c>
      <c r="C149" s="472">
        <f>IF(D93="","-",+C148+1)</f>
        <v>2060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51"/>
        <v>0</v>
      </c>
      <c r="G149" s="485">
        <f t="shared" si="52"/>
        <v>0</v>
      </c>
      <c r="H149" s="488">
        <f t="shared" si="45"/>
        <v>0</v>
      </c>
      <c r="I149" s="542">
        <f t="shared" si="46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31"/>
        <v/>
      </c>
      <c r="C150" s="472">
        <f>IF(D93="","-",+C149+1)</f>
        <v>2061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51"/>
        <v>0</v>
      </c>
      <c r="G150" s="485">
        <f t="shared" si="52"/>
        <v>0</v>
      </c>
      <c r="H150" s="488">
        <f t="shared" si="45"/>
        <v>0</v>
      </c>
      <c r="I150" s="542">
        <f t="shared" si="46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31"/>
        <v/>
      </c>
      <c r="C151" s="472">
        <f>IF(D93="","-",+C150+1)</f>
        <v>2062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51"/>
        <v>0</v>
      </c>
      <c r="G151" s="485">
        <f t="shared" si="52"/>
        <v>0</v>
      </c>
      <c r="H151" s="488">
        <f t="shared" si="45"/>
        <v>0</v>
      </c>
      <c r="I151" s="542">
        <f t="shared" si="46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31"/>
        <v/>
      </c>
      <c r="C152" s="472">
        <f>IF(D93="","-",+C151+1)</f>
        <v>2063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51"/>
        <v>0</v>
      </c>
      <c r="G152" s="485">
        <f t="shared" si="52"/>
        <v>0</v>
      </c>
      <c r="H152" s="488">
        <f t="shared" si="45"/>
        <v>0</v>
      </c>
      <c r="I152" s="542">
        <f t="shared" si="46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31"/>
        <v/>
      </c>
      <c r="C153" s="472">
        <f>IF(D93="","-",+C152+1)</f>
        <v>2064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51"/>
        <v>0</v>
      </c>
      <c r="G153" s="485">
        <f t="shared" si="52"/>
        <v>0</v>
      </c>
      <c r="H153" s="488">
        <f t="shared" si="45"/>
        <v>0</v>
      </c>
      <c r="I153" s="542">
        <f t="shared" si="46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31"/>
        <v/>
      </c>
      <c r="C154" s="489">
        <f>IF(D93="","-",+C153+1)</f>
        <v>2065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51"/>
        <v>0</v>
      </c>
      <c r="G154" s="490">
        <f t="shared" si="52"/>
        <v>0</v>
      </c>
      <c r="H154" s="492">
        <f t="shared" si="45"/>
        <v>0</v>
      </c>
      <c r="I154" s="545">
        <f t="shared" si="46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6" t="s">
        <v>77</v>
      </c>
      <c r="D155" s="347"/>
      <c r="E155" s="347">
        <f>SUM(E99:E154)</f>
        <v>96566</v>
      </c>
      <c r="F155" s="347"/>
      <c r="G155" s="347"/>
      <c r="H155" s="347">
        <f>SUM(H99:H154)</f>
        <v>348111.41944349854</v>
      </c>
      <c r="I155" s="347">
        <f>SUM(I99:I154)</f>
        <v>348111.41944349854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8" priority="1" stopIfTrue="1" operator="equal">
      <formula>$I$10</formula>
    </cfRule>
  </conditionalFormatting>
  <conditionalFormatting sqref="C99:C154">
    <cfRule type="cellIs" dxfId="4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1">
    <tabColor rgb="FF92D050"/>
  </sheetPr>
  <dimension ref="A1:P162"/>
  <sheetViews>
    <sheetView view="pageBreakPreview" topLeftCell="A13" zoomScale="75" zoomScaleNormal="100" workbookViewId="0">
      <selection activeCell="K27" sqref="K27:M2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3" width="17.7109375" style="148" customWidth="1"/>
    <col min="14" max="14" width="16.7109375" style="148" customWidth="1"/>
    <col min="15" max="15" width="18.4257812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11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6.5" thickBot="1">
      <c r="C4" s="569" t="s">
        <v>263</v>
      </c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147114.94333333333</v>
      </c>
      <c r="P5" s="232"/>
    </row>
    <row r="6" spans="1:16" ht="15.75">
      <c r="C6" s="570" t="s">
        <v>264</v>
      </c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147114.94333333333</v>
      </c>
      <c r="O6" s="232"/>
      <c r="P6" s="232"/>
    </row>
    <row r="7" spans="1:16" ht="13.5" thickBot="1">
      <c r="C7" s="431" t="s">
        <v>46</v>
      </c>
      <c r="D7" s="432" t="s">
        <v>229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5.75" thickBot="1">
      <c r="C8" s="571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228</v>
      </c>
      <c r="E9" s="577" t="s">
        <v>344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f>1493723*94%</f>
        <v>1404099.6199999999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2011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33430.943333333329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2011</v>
      </c>
      <c r="D17" s="473">
        <v>1624000</v>
      </c>
      <c r="E17" s="474">
        <v>15921.568627450981</v>
      </c>
      <c r="F17" s="473">
        <v>1608078.4313725489</v>
      </c>
      <c r="G17" s="474">
        <v>267655.54041850357</v>
      </c>
      <c r="H17" s="481">
        <v>267655.54041850357</v>
      </c>
      <c r="I17" s="475">
        <f>H17-G17</f>
        <v>0</v>
      </c>
      <c r="J17" s="475"/>
      <c r="K17" s="554">
        <f t="shared" ref="K17:K22" si="0">G17</f>
        <v>267655.54041850357</v>
      </c>
      <c r="L17" s="562">
        <f t="shared" ref="L17:L48" si="1">IF(K17&lt;&gt;0,+G17-K17,0)</f>
        <v>0</v>
      </c>
      <c r="M17" s="554">
        <f t="shared" ref="M17:M22" si="2">H17</f>
        <v>267655.54041850357</v>
      </c>
      <c r="N17" s="477">
        <f t="shared" ref="N17:N48" si="3">IF(M17&lt;&gt;0,+H17-M17,0)</f>
        <v>0</v>
      </c>
      <c r="O17" s="478">
        <f t="shared" ref="O17:O48" si="4">+N17-L17</f>
        <v>0</v>
      </c>
      <c r="P17" s="242"/>
    </row>
    <row r="18" spans="2:16">
      <c r="B18" s="160" t="str">
        <f t="shared" ref="B18:B49" si="5">IF(D18=F17,"","IU")</f>
        <v>IU</v>
      </c>
      <c r="C18" s="472">
        <f>IF(D11="","-",+C17+1)</f>
        <v>2012</v>
      </c>
      <c r="D18" s="479">
        <v>1420815.4313725489</v>
      </c>
      <c r="E18" s="480">
        <v>27629.557692307691</v>
      </c>
      <c r="F18" s="479">
        <v>1393185.8736802412</v>
      </c>
      <c r="G18" s="480">
        <v>221570.55769230769</v>
      </c>
      <c r="H18" s="481">
        <v>221570.55769230769</v>
      </c>
      <c r="I18" s="475">
        <f t="shared" ref="I18:I48" si="6">H18-G18</f>
        <v>0</v>
      </c>
      <c r="J18" s="475"/>
      <c r="K18" s="476">
        <f t="shared" si="0"/>
        <v>221570.55769230769</v>
      </c>
      <c r="L18" s="550">
        <f t="shared" si="1"/>
        <v>0</v>
      </c>
      <c r="M18" s="476">
        <f t="shared" si="2"/>
        <v>221570.55769230769</v>
      </c>
      <c r="N18" s="478">
        <f t="shared" si="3"/>
        <v>0</v>
      </c>
      <c r="O18" s="478">
        <f t="shared" si="4"/>
        <v>0</v>
      </c>
      <c r="P18" s="242"/>
    </row>
    <row r="19" spans="2:16">
      <c r="B19" s="160" t="str">
        <f t="shared" si="5"/>
        <v>IU</v>
      </c>
      <c r="C19" s="472">
        <f>IF(D11="","-",+C18+1)</f>
        <v>2013</v>
      </c>
      <c r="D19" s="479">
        <v>1450171.8736802414</v>
      </c>
      <c r="E19" s="480">
        <v>28725.442307692309</v>
      </c>
      <c r="F19" s="479">
        <v>1421446.4313725492</v>
      </c>
      <c r="G19" s="480">
        <v>231717.44230769231</v>
      </c>
      <c r="H19" s="481">
        <v>231717.44230769231</v>
      </c>
      <c r="I19" s="475">
        <v>0</v>
      </c>
      <c r="J19" s="475"/>
      <c r="K19" s="476">
        <f t="shared" si="0"/>
        <v>231717.44230769231</v>
      </c>
      <c r="L19" s="550">
        <f t="shared" ref="L19:L24" si="7">IF(K19&lt;&gt;0,+G19-K19,0)</f>
        <v>0</v>
      </c>
      <c r="M19" s="476">
        <f t="shared" si="2"/>
        <v>231717.44230769231</v>
      </c>
      <c r="N19" s="478">
        <f t="shared" ref="N19:N24" si="8">IF(M19&lt;&gt;0,+H19-M19,0)</f>
        <v>0</v>
      </c>
      <c r="O19" s="478">
        <f t="shared" ref="O19:O24" si="9">+N19-L19</f>
        <v>0</v>
      </c>
      <c r="P19" s="242"/>
    </row>
    <row r="20" spans="2:16">
      <c r="B20" s="160" t="str">
        <f t="shared" si="5"/>
        <v>IU</v>
      </c>
      <c r="C20" s="472">
        <f>IF(D11="","-",+C19+1)</f>
        <v>2014</v>
      </c>
      <c r="D20" s="479">
        <v>1331823.0513725488</v>
      </c>
      <c r="E20" s="480">
        <v>27001.915769230767</v>
      </c>
      <c r="F20" s="479">
        <v>1304821.135603318</v>
      </c>
      <c r="G20" s="480">
        <v>206621.91576923078</v>
      </c>
      <c r="H20" s="481">
        <v>206621.91576923078</v>
      </c>
      <c r="I20" s="475">
        <v>0</v>
      </c>
      <c r="J20" s="475"/>
      <c r="K20" s="476">
        <f t="shared" si="0"/>
        <v>206621.91576923078</v>
      </c>
      <c r="L20" s="550">
        <f t="shared" si="7"/>
        <v>0</v>
      </c>
      <c r="M20" s="476">
        <f t="shared" si="2"/>
        <v>206621.91576923078</v>
      </c>
      <c r="N20" s="478">
        <f t="shared" si="8"/>
        <v>0</v>
      </c>
      <c r="O20" s="478">
        <f t="shared" si="9"/>
        <v>0</v>
      </c>
      <c r="P20" s="242"/>
    </row>
    <row r="21" spans="2:16">
      <c r="B21" s="160" t="str">
        <f t="shared" si="5"/>
        <v/>
      </c>
      <c r="C21" s="472">
        <f>IF(D11="","-",+C20+1)</f>
        <v>2015</v>
      </c>
      <c r="D21" s="479">
        <v>1304821.135603318</v>
      </c>
      <c r="E21" s="480">
        <v>27001.915769230767</v>
      </c>
      <c r="F21" s="479">
        <v>1277819.2198340872</v>
      </c>
      <c r="G21" s="480">
        <v>203176.91576923078</v>
      </c>
      <c r="H21" s="481">
        <v>203176.91576923078</v>
      </c>
      <c r="I21" s="475">
        <v>0</v>
      </c>
      <c r="J21" s="475"/>
      <c r="K21" s="476">
        <f t="shared" si="0"/>
        <v>203176.91576923078</v>
      </c>
      <c r="L21" s="550">
        <f t="shared" si="7"/>
        <v>0</v>
      </c>
      <c r="M21" s="476">
        <f t="shared" si="2"/>
        <v>203176.91576923078</v>
      </c>
      <c r="N21" s="478">
        <f t="shared" si="8"/>
        <v>0</v>
      </c>
      <c r="O21" s="478">
        <f t="shared" si="9"/>
        <v>0</v>
      </c>
      <c r="P21" s="242"/>
    </row>
    <row r="22" spans="2:16">
      <c r="B22" s="160" t="str">
        <f t="shared" si="5"/>
        <v/>
      </c>
      <c r="C22" s="472">
        <f>IF(D11="","-",+C21+1)</f>
        <v>2016</v>
      </c>
      <c r="D22" s="479">
        <v>1277819.2198340872</v>
      </c>
      <c r="E22" s="480">
        <v>27001.915769230767</v>
      </c>
      <c r="F22" s="479">
        <v>1250817.3040648564</v>
      </c>
      <c r="G22" s="480">
        <v>191058.91576923078</v>
      </c>
      <c r="H22" s="481">
        <v>191058.91576923078</v>
      </c>
      <c r="I22" s="475">
        <f t="shared" si="6"/>
        <v>0</v>
      </c>
      <c r="J22" s="475"/>
      <c r="K22" s="476">
        <f t="shared" si="0"/>
        <v>191058.91576923078</v>
      </c>
      <c r="L22" s="550">
        <f t="shared" si="7"/>
        <v>0</v>
      </c>
      <c r="M22" s="476">
        <f t="shared" si="2"/>
        <v>191058.91576923078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5"/>
        <v/>
      </c>
      <c r="C23" s="472">
        <f>IF(D11="","-",+C22+1)</f>
        <v>2017</v>
      </c>
      <c r="D23" s="479">
        <v>1250817.3040648564</v>
      </c>
      <c r="E23" s="480">
        <v>30523.904782608693</v>
      </c>
      <c r="F23" s="479">
        <v>1220293.3992822478</v>
      </c>
      <c r="G23" s="480">
        <v>185818.9047826087</v>
      </c>
      <c r="H23" s="481">
        <v>185818.9047826087</v>
      </c>
      <c r="I23" s="475">
        <f t="shared" si="6"/>
        <v>0</v>
      </c>
      <c r="J23" s="475"/>
      <c r="K23" s="476">
        <f>G23</f>
        <v>185818.9047826087</v>
      </c>
      <c r="L23" s="550">
        <f t="shared" si="7"/>
        <v>0</v>
      </c>
      <c r="M23" s="476">
        <f>H23</f>
        <v>185818.9047826087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5"/>
        <v/>
      </c>
      <c r="C24" s="472">
        <f>IF(D11="","-",+C23+1)</f>
        <v>2018</v>
      </c>
      <c r="D24" s="479">
        <v>1220293.3992822478</v>
      </c>
      <c r="E24" s="480">
        <v>31202.213777777775</v>
      </c>
      <c r="F24" s="479">
        <v>1189091.18550447</v>
      </c>
      <c r="G24" s="480">
        <v>175474.88659362236</v>
      </c>
      <c r="H24" s="481">
        <v>175474.88659362236</v>
      </c>
      <c r="I24" s="475">
        <f t="shared" si="6"/>
        <v>0</v>
      </c>
      <c r="J24" s="475"/>
      <c r="K24" s="476">
        <f>G24</f>
        <v>175474.88659362236</v>
      </c>
      <c r="L24" s="550">
        <f t="shared" si="7"/>
        <v>0</v>
      </c>
      <c r="M24" s="476">
        <f>H24</f>
        <v>175474.88659362236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5"/>
        <v/>
      </c>
      <c r="C25" s="472">
        <f>IF(D11="","-",+C24+1)</f>
        <v>2019</v>
      </c>
      <c r="D25" s="479">
        <v>1189091.18550447</v>
      </c>
      <c r="E25" s="480">
        <v>35102.4905</v>
      </c>
      <c r="F25" s="479">
        <v>1153988.6950044699</v>
      </c>
      <c r="G25" s="480">
        <v>165912.69365934882</v>
      </c>
      <c r="H25" s="481">
        <v>165912.69365934882</v>
      </c>
      <c r="I25" s="475">
        <f t="shared" si="6"/>
        <v>0</v>
      </c>
      <c r="J25" s="475"/>
      <c r="K25" s="476">
        <f>G25</f>
        <v>165912.69365934882</v>
      </c>
      <c r="L25" s="550">
        <f t="shared" ref="L25" si="10">IF(K25&lt;&gt;0,+G25-K25,0)</f>
        <v>0</v>
      </c>
      <c r="M25" s="476">
        <f>H25</f>
        <v>165912.69365934882</v>
      </c>
      <c r="N25" s="478">
        <f t="shared" ref="N25" si="11">IF(M25&lt;&gt;0,+H25-M25,0)</f>
        <v>0</v>
      </c>
      <c r="O25" s="478">
        <f t="shared" ref="O25" si="12">+N25-L25</f>
        <v>0</v>
      </c>
      <c r="P25" s="242"/>
    </row>
    <row r="26" spans="2:16">
      <c r="B26" s="160" t="str">
        <f t="shared" si="5"/>
        <v>IU</v>
      </c>
      <c r="C26" s="472">
        <f>IF(D11="","-",+C25+1)</f>
        <v>2020</v>
      </c>
      <c r="D26" s="479">
        <v>1157888.9717266923</v>
      </c>
      <c r="E26" s="480">
        <v>33430.943333333329</v>
      </c>
      <c r="F26" s="479">
        <v>1124458.0283933589</v>
      </c>
      <c r="G26" s="480">
        <v>156683.13262286683</v>
      </c>
      <c r="H26" s="481">
        <v>156683.13262286683</v>
      </c>
      <c r="I26" s="475">
        <f t="shared" si="6"/>
        <v>0</v>
      </c>
      <c r="J26" s="475"/>
      <c r="K26" s="476">
        <f>G26</f>
        <v>156683.13262286683</v>
      </c>
      <c r="L26" s="550">
        <f t="shared" ref="L26" si="13">IF(K26&lt;&gt;0,+G26-K26,0)</f>
        <v>0</v>
      </c>
      <c r="M26" s="476">
        <f>H26</f>
        <v>156683.13262286683</v>
      </c>
      <c r="N26" s="478">
        <f t="shared" si="3"/>
        <v>0</v>
      </c>
      <c r="O26" s="478">
        <f t="shared" si="4"/>
        <v>0</v>
      </c>
      <c r="P26" s="242"/>
    </row>
    <row r="27" spans="2:16">
      <c r="B27" s="160" t="str">
        <f t="shared" si="5"/>
        <v>IU</v>
      </c>
      <c r="C27" s="472">
        <f>IF(D11="","-",+C26+1)</f>
        <v>2021</v>
      </c>
      <c r="D27" s="479">
        <v>1120557.7516711368</v>
      </c>
      <c r="E27" s="480">
        <v>32653.479534883718</v>
      </c>
      <c r="F27" s="479">
        <v>1087904.2721362531</v>
      </c>
      <c r="G27" s="480">
        <v>149953.47953488372</v>
      </c>
      <c r="H27" s="481">
        <v>149953.47953488372</v>
      </c>
      <c r="I27" s="475">
        <f t="shared" si="6"/>
        <v>0</v>
      </c>
      <c r="J27" s="475"/>
      <c r="K27" s="476">
        <f>G27</f>
        <v>149953.47953488372</v>
      </c>
      <c r="L27" s="550">
        <f t="shared" ref="L27" si="14">IF(K27&lt;&gt;0,+G27-K27,0)</f>
        <v>0</v>
      </c>
      <c r="M27" s="476">
        <f>H27</f>
        <v>149953.47953488372</v>
      </c>
      <c r="N27" s="478">
        <f t="shared" si="3"/>
        <v>0</v>
      </c>
      <c r="O27" s="478">
        <f t="shared" si="4"/>
        <v>0</v>
      </c>
      <c r="P27" s="242"/>
    </row>
    <row r="28" spans="2:16">
      <c r="B28" s="160" t="str">
        <f t="shared" si="5"/>
        <v/>
      </c>
      <c r="C28" s="472">
        <f>IF(D11="","-",+C27+1)</f>
        <v>2022</v>
      </c>
      <c r="D28" s="485">
        <f>IF(F27+SUM(E$17:E27)=D$10,F27,D$10-SUM(E$17:E27))</f>
        <v>1087904.2721362531</v>
      </c>
      <c r="E28" s="484">
        <f>IF(+I14&lt;F27,I14,D28)</f>
        <v>33430.943333333329</v>
      </c>
      <c r="F28" s="485">
        <f t="shared" ref="F28:F49" si="15">+D28-E28</f>
        <v>1054473.3288029197</v>
      </c>
      <c r="G28" s="486">
        <f t="shared" ref="G28:G49" si="16">ROUND(I$12*F28,0)+E28</f>
        <v>147114.94333333333</v>
      </c>
      <c r="H28" s="455">
        <f t="shared" ref="H28:H49" si="17">ROUND(I$13*F28,0)+E28</f>
        <v>147114.94333333333</v>
      </c>
      <c r="I28" s="475">
        <f t="shared" si="6"/>
        <v>0</v>
      </c>
      <c r="J28" s="475"/>
      <c r="K28" s="487"/>
      <c r="L28" s="478">
        <f t="shared" si="1"/>
        <v>0</v>
      </c>
      <c r="M28" s="487"/>
      <c r="N28" s="478">
        <f t="shared" si="3"/>
        <v>0</v>
      </c>
      <c r="O28" s="478">
        <f t="shared" si="4"/>
        <v>0</v>
      </c>
      <c r="P28" s="242"/>
    </row>
    <row r="29" spans="2:16">
      <c r="B29" s="160" t="str">
        <f t="shared" si="5"/>
        <v/>
      </c>
      <c r="C29" s="472">
        <f>IF(D11="","-",+C28+1)</f>
        <v>2023</v>
      </c>
      <c r="D29" s="485">
        <f>IF(F28+SUM(E$17:E28)=D$10,F28,D$10-SUM(E$17:E28))</f>
        <v>1054473.3288029197</v>
      </c>
      <c r="E29" s="484">
        <f>IF(+I14&lt;F28,I14,D29)</f>
        <v>33430.943333333329</v>
      </c>
      <c r="F29" s="485">
        <f t="shared" si="15"/>
        <v>1021042.3854695864</v>
      </c>
      <c r="G29" s="486">
        <f t="shared" si="16"/>
        <v>143510.94333333333</v>
      </c>
      <c r="H29" s="455">
        <f t="shared" si="17"/>
        <v>143510.94333333333</v>
      </c>
      <c r="I29" s="475">
        <f t="shared" si="6"/>
        <v>0</v>
      </c>
      <c r="J29" s="475"/>
      <c r="K29" s="487"/>
      <c r="L29" s="478">
        <f t="shared" si="1"/>
        <v>0</v>
      </c>
      <c r="M29" s="487"/>
      <c r="N29" s="478">
        <f t="shared" si="3"/>
        <v>0</v>
      </c>
      <c r="O29" s="478">
        <f t="shared" si="4"/>
        <v>0</v>
      </c>
      <c r="P29" s="242"/>
    </row>
    <row r="30" spans="2:16">
      <c r="B30" s="160" t="str">
        <f t="shared" si="5"/>
        <v/>
      </c>
      <c r="C30" s="472">
        <f>IF(D11="","-",+C29+1)</f>
        <v>2024</v>
      </c>
      <c r="D30" s="485">
        <f>IF(F29+SUM(E$17:E29)=D$10,F29,D$10-SUM(E$17:E29))</f>
        <v>1021042.3854695864</v>
      </c>
      <c r="E30" s="484">
        <f>IF(+I14&lt;F29,I14,D30)</f>
        <v>33430.943333333329</v>
      </c>
      <c r="F30" s="485">
        <f t="shared" si="15"/>
        <v>987611.442136253</v>
      </c>
      <c r="G30" s="486">
        <f t="shared" si="16"/>
        <v>139906.94333333333</v>
      </c>
      <c r="H30" s="455">
        <f t="shared" si="17"/>
        <v>139906.94333333333</v>
      </c>
      <c r="I30" s="475">
        <f t="shared" si="6"/>
        <v>0</v>
      </c>
      <c r="J30" s="475"/>
      <c r="K30" s="487"/>
      <c r="L30" s="478">
        <f t="shared" si="1"/>
        <v>0</v>
      </c>
      <c r="M30" s="487"/>
      <c r="N30" s="478">
        <f t="shared" si="3"/>
        <v>0</v>
      </c>
      <c r="O30" s="478">
        <f t="shared" si="4"/>
        <v>0</v>
      </c>
      <c r="P30" s="242"/>
    </row>
    <row r="31" spans="2:16">
      <c r="B31" s="160" t="str">
        <f t="shared" si="5"/>
        <v/>
      </c>
      <c r="C31" s="472">
        <f>IF(D11="","-",+C30+1)</f>
        <v>2025</v>
      </c>
      <c r="D31" s="485">
        <f>IF(F30+SUM(E$17:E30)=D$10,F30,D$10-SUM(E$17:E30))</f>
        <v>987611.442136253</v>
      </c>
      <c r="E31" s="484">
        <f>IF(+I14&lt;F30,I14,D31)</f>
        <v>33430.943333333329</v>
      </c>
      <c r="F31" s="485">
        <f t="shared" si="15"/>
        <v>954180.49880291964</v>
      </c>
      <c r="G31" s="486">
        <f t="shared" si="16"/>
        <v>136301.94333333333</v>
      </c>
      <c r="H31" s="455">
        <f t="shared" si="17"/>
        <v>136301.94333333333</v>
      </c>
      <c r="I31" s="475">
        <f t="shared" si="6"/>
        <v>0</v>
      </c>
      <c r="J31" s="475"/>
      <c r="K31" s="487"/>
      <c r="L31" s="478">
        <f t="shared" si="1"/>
        <v>0</v>
      </c>
      <c r="M31" s="487"/>
      <c r="N31" s="478">
        <f t="shared" si="3"/>
        <v>0</v>
      </c>
      <c r="O31" s="478">
        <f t="shared" si="4"/>
        <v>0</v>
      </c>
      <c r="P31" s="242"/>
    </row>
    <row r="32" spans="2:16">
      <c r="B32" s="160" t="str">
        <f t="shared" si="5"/>
        <v/>
      </c>
      <c r="C32" s="472">
        <f>IF(D11="","-",+C31+1)</f>
        <v>2026</v>
      </c>
      <c r="D32" s="485">
        <f>IF(F31+SUM(E$17:E31)=D$10,F31,D$10-SUM(E$17:E31))</f>
        <v>954180.49880291964</v>
      </c>
      <c r="E32" s="484">
        <f>IF(+I14&lt;F31,I14,D32)</f>
        <v>33430.943333333329</v>
      </c>
      <c r="F32" s="485">
        <f t="shared" si="15"/>
        <v>920749.55546958628</v>
      </c>
      <c r="G32" s="486">
        <f t="shared" si="16"/>
        <v>132697.94333333333</v>
      </c>
      <c r="H32" s="455">
        <f t="shared" si="17"/>
        <v>132697.94333333333</v>
      </c>
      <c r="I32" s="475">
        <f t="shared" si="6"/>
        <v>0</v>
      </c>
      <c r="J32" s="475"/>
      <c r="K32" s="487"/>
      <c r="L32" s="478">
        <f t="shared" si="1"/>
        <v>0</v>
      </c>
      <c r="M32" s="487"/>
      <c r="N32" s="478">
        <f t="shared" si="3"/>
        <v>0</v>
      </c>
      <c r="O32" s="478">
        <f t="shared" si="4"/>
        <v>0</v>
      </c>
      <c r="P32" s="242"/>
    </row>
    <row r="33" spans="2:16">
      <c r="B33" s="160" t="str">
        <f t="shared" si="5"/>
        <v/>
      </c>
      <c r="C33" s="472">
        <f>IF(D11="","-",+C32+1)</f>
        <v>2027</v>
      </c>
      <c r="D33" s="485">
        <f>IF(F32+SUM(E$17:E32)=D$10,F32,D$10-SUM(E$17:E32))</f>
        <v>920749.55546958628</v>
      </c>
      <c r="E33" s="484">
        <f>IF(+I14&lt;F32,I14,D33)</f>
        <v>33430.943333333329</v>
      </c>
      <c r="F33" s="485">
        <f t="shared" si="15"/>
        <v>887318.61213625292</v>
      </c>
      <c r="G33" s="486">
        <f t="shared" si="16"/>
        <v>129093.94333333333</v>
      </c>
      <c r="H33" s="455">
        <f t="shared" si="17"/>
        <v>129093.94333333333</v>
      </c>
      <c r="I33" s="475">
        <f t="shared" si="6"/>
        <v>0</v>
      </c>
      <c r="J33" s="475"/>
      <c r="K33" s="487"/>
      <c r="L33" s="478">
        <f t="shared" si="1"/>
        <v>0</v>
      </c>
      <c r="M33" s="487"/>
      <c r="N33" s="478">
        <f t="shared" si="3"/>
        <v>0</v>
      </c>
      <c r="O33" s="478">
        <f t="shared" si="4"/>
        <v>0</v>
      </c>
      <c r="P33" s="242"/>
    </row>
    <row r="34" spans="2:16">
      <c r="B34" s="160" t="str">
        <f t="shared" si="5"/>
        <v/>
      </c>
      <c r="C34" s="472">
        <f>IF(D11="","-",+C33+1)</f>
        <v>2028</v>
      </c>
      <c r="D34" s="485">
        <f>IF(F33+SUM(E$17:E33)=D$10,F33,D$10-SUM(E$17:E33))</f>
        <v>887318.61213625292</v>
      </c>
      <c r="E34" s="484">
        <f>IF(+I14&lt;F33,I14,D34)</f>
        <v>33430.943333333329</v>
      </c>
      <c r="F34" s="485">
        <f t="shared" si="15"/>
        <v>853887.66880291956</v>
      </c>
      <c r="G34" s="486">
        <f t="shared" si="16"/>
        <v>125489.94333333333</v>
      </c>
      <c r="H34" s="455">
        <f t="shared" si="17"/>
        <v>125489.94333333333</v>
      </c>
      <c r="I34" s="475">
        <f t="shared" si="6"/>
        <v>0</v>
      </c>
      <c r="J34" s="475"/>
      <c r="K34" s="487"/>
      <c r="L34" s="478">
        <f t="shared" si="1"/>
        <v>0</v>
      </c>
      <c r="M34" s="487"/>
      <c r="N34" s="478">
        <f t="shared" si="3"/>
        <v>0</v>
      </c>
      <c r="O34" s="478">
        <f t="shared" si="4"/>
        <v>0</v>
      </c>
      <c r="P34" s="242"/>
    </row>
    <row r="35" spans="2:16">
      <c r="B35" s="160" t="str">
        <f t="shared" si="5"/>
        <v/>
      </c>
      <c r="C35" s="472">
        <f>IF(D11="","-",+C34+1)</f>
        <v>2029</v>
      </c>
      <c r="D35" s="485">
        <f>IF(F34+SUM(E$17:E34)=D$10,F34,D$10-SUM(E$17:E34))</f>
        <v>853887.66880291956</v>
      </c>
      <c r="E35" s="484">
        <f>IF(+I14&lt;F34,I14,D35)</f>
        <v>33430.943333333329</v>
      </c>
      <c r="F35" s="485">
        <f t="shared" si="15"/>
        <v>820456.72546958621</v>
      </c>
      <c r="G35" s="486">
        <f t="shared" si="16"/>
        <v>121884.94333333333</v>
      </c>
      <c r="H35" s="455">
        <f t="shared" si="17"/>
        <v>121884.94333333333</v>
      </c>
      <c r="I35" s="475">
        <f t="shared" si="6"/>
        <v>0</v>
      </c>
      <c r="J35" s="475"/>
      <c r="K35" s="487"/>
      <c r="L35" s="478">
        <f t="shared" si="1"/>
        <v>0</v>
      </c>
      <c r="M35" s="487"/>
      <c r="N35" s="478">
        <f t="shared" si="3"/>
        <v>0</v>
      </c>
      <c r="O35" s="478">
        <f t="shared" si="4"/>
        <v>0</v>
      </c>
      <c r="P35" s="242"/>
    </row>
    <row r="36" spans="2:16">
      <c r="B36" s="160" t="str">
        <f t="shared" si="5"/>
        <v/>
      </c>
      <c r="C36" s="472">
        <f>IF(D11="","-",+C35+1)</f>
        <v>2030</v>
      </c>
      <c r="D36" s="485">
        <f>IF(F35+SUM(E$17:E35)=D$10,F35,D$10-SUM(E$17:E35))</f>
        <v>820456.72546958621</v>
      </c>
      <c r="E36" s="484">
        <f>IF(+I14&lt;F35,I14,D36)</f>
        <v>33430.943333333329</v>
      </c>
      <c r="F36" s="485">
        <f t="shared" si="15"/>
        <v>787025.78213625285</v>
      </c>
      <c r="G36" s="486">
        <f t="shared" si="16"/>
        <v>118280.94333333333</v>
      </c>
      <c r="H36" s="455">
        <f t="shared" si="17"/>
        <v>118280.94333333333</v>
      </c>
      <c r="I36" s="475">
        <f t="shared" si="6"/>
        <v>0</v>
      </c>
      <c r="J36" s="475"/>
      <c r="K36" s="487"/>
      <c r="L36" s="478">
        <f t="shared" si="1"/>
        <v>0</v>
      </c>
      <c r="M36" s="487"/>
      <c r="N36" s="478">
        <f t="shared" si="3"/>
        <v>0</v>
      </c>
      <c r="O36" s="478">
        <f t="shared" si="4"/>
        <v>0</v>
      </c>
      <c r="P36" s="242"/>
    </row>
    <row r="37" spans="2:16">
      <c r="B37" s="160" t="str">
        <f t="shared" si="5"/>
        <v/>
      </c>
      <c r="C37" s="472">
        <f>IF(D11="","-",+C36+1)</f>
        <v>2031</v>
      </c>
      <c r="D37" s="485">
        <f>IF(F36+SUM(E$17:E36)=D$10,F36,D$10-SUM(E$17:E36))</f>
        <v>787025.78213625285</v>
      </c>
      <c r="E37" s="484">
        <f>IF(+I14&lt;F36,I14,D37)</f>
        <v>33430.943333333329</v>
      </c>
      <c r="F37" s="485">
        <f t="shared" si="15"/>
        <v>753594.83880291949</v>
      </c>
      <c r="G37" s="486">
        <f t="shared" si="16"/>
        <v>114676.94333333333</v>
      </c>
      <c r="H37" s="455">
        <f t="shared" si="17"/>
        <v>114676.94333333333</v>
      </c>
      <c r="I37" s="475">
        <f t="shared" si="6"/>
        <v>0</v>
      </c>
      <c r="J37" s="475"/>
      <c r="K37" s="487"/>
      <c r="L37" s="478">
        <f t="shared" si="1"/>
        <v>0</v>
      </c>
      <c r="M37" s="487"/>
      <c r="N37" s="478">
        <f t="shared" si="3"/>
        <v>0</v>
      </c>
      <c r="O37" s="478">
        <f t="shared" si="4"/>
        <v>0</v>
      </c>
      <c r="P37" s="242"/>
    </row>
    <row r="38" spans="2:16">
      <c r="B38" s="160" t="str">
        <f t="shared" si="5"/>
        <v/>
      </c>
      <c r="C38" s="472">
        <f>IF(D11="","-",+C37+1)</f>
        <v>2032</v>
      </c>
      <c r="D38" s="485">
        <f>IF(F37+SUM(E$17:E37)=D$10,F37,D$10-SUM(E$17:E37))</f>
        <v>753594.83880291949</v>
      </c>
      <c r="E38" s="484">
        <f>IF(+I14&lt;F37,I14,D38)</f>
        <v>33430.943333333329</v>
      </c>
      <c r="F38" s="485">
        <f t="shared" si="15"/>
        <v>720163.89546958613</v>
      </c>
      <c r="G38" s="486">
        <f t="shared" si="16"/>
        <v>111072.94333333333</v>
      </c>
      <c r="H38" s="455">
        <f t="shared" si="17"/>
        <v>111072.94333333333</v>
      </c>
      <c r="I38" s="475">
        <f t="shared" si="6"/>
        <v>0</v>
      </c>
      <c r="J38" s="475"/>
      <c r="K38" s="487"/>
      <c r="L38" s="478">
        <f t="shared" si="1"/>
        <v>0</v>
      </c>
      <c r="M38" s="487"/>
      <c r="N38" s="478">
        <f t="shared" si="3"/>
        <v>0</v>
      </c>
      <c r="O38" s="478">
        <f t="shared" si="4"/>
        <v>0</v>
      </c>
      <c r="P38" s="242"/>
    </row>
    <row r="39" spans="2:16">
      <c r="B39" s="160" t="str">
        <f t="shared" si="5"/>
        <v/>
      </c>
      <c r="C39" s="472">
        <f>IF(D11="","-",+C38+1)</f>
        <v>2033</v>
      </c>
      <c r="D39" s="485">
        <f>IF(F38+SUM(E$17:E38)=D$10,F38,D$10-SUM(E$17:E38))</f>
        <v>720163.89546958613</v>
      </c>
      <c r="E39" s="484">
        <f>IF(+I14&lt;F38,I14,D39)</f>
        <v>33430.943333333329</v>
      </c>
      <c r="F39" s="485">
        <f t="shared" si="15"/>
        <v>686732.95213625277</v>
      </c>
      <c r="G39" s="486">
        <f t="shared" si="16"/>
        <v>107468.94333333333</v>
      </c>
      <c r="H39" s="455">
        <f t="shared" si="17"/>
        <v>107468.94333333333</v>
      </c>
      <c r="I39" s="475">
        <f t="shared" si="6"/>
        <v>0</v>
      </c>
      <c r="J39" s="475"/>
      <c r="K39" s="487"/>
      <c r="L39" s="478">
        <f t="shared" si="1"/>
        <v>0</v>
      </c>
      <c r="M39" s="487"/>
      <c r="N39" s="478">
        <f t="shared" si="3"/>
        <v>0</v>
      </c>
      <c r="O39" s="478">
        <f t="shared" si="4"/>
        <v>0</v>
      </c>
      <c r="P39" s="242"/>
    </row>
    <row r="40" spans="2:16">
      <c r="B40" s="160" t="str">
        <f t="shared" si="5"/>
        <v/>
      </c>
      <c r="C40" s="472">
        <f>IF(D11="","-",+C39+1)</f>
        <v>2034</v>
      </c>
      <c r="D40" s="485">
        <f>IF(F39+SUM(E$17:E39)=D$10,F39,D$10-SUM(E$17:E39))</f>
        <v>686732.95213625277</v>
      </c>
      <c r="E40" s="484">
        <f>IF(+I14&lt;F39,I14,D40)</f>
        <v>33430.943333333329</v>
      </c>
      <c r="F40" s="485">
        <f t="shared" si="15"/>
        <v>653302.00880291942</v>
      </c>
      <c r="G40" s="486">
        <f t="shared" si="16"/>
        <v>103863.94333333333</v>
      </c>
      <c r="H40" s="455">
        <f t="shared" si="17"/>
        <v>103863.94333333333</v>
      </c>
      <c r="I40" s="475">
        <f t="shared" si="6"/>
        <v>0</v>
      </c>
      <c r="J40" s="475"/>
      <c r="K40" s="487"/>
      <c r="L40" s="478">
        <f t="shared" si="1"/>
        <v>0</v>
      </c>
      <c r="M40" s="487"/>
      <c r="N40" s="478">
        <f t="shared" si="3"/>
        <v>0</v>
      </c>
      <c r="O40" s="478">
        <f t="shared" si="4"/>
        <v>0</v>
      </c>
      <c r="P40" s="242"/>
    </row>
    <row r="41" spans="2:16">
      <c r="B41" s="160" t="str">
        <f t="shared" si="5"/>
        <v/>
      </c>
      <c r="C41" s="472">
        <f>IF(D11="","-",+C40+1)</f>
        <v>2035</v>
      </c>
      <c r="D41" s="485">
        <f>IF(F40+SUM(E$17:E40)=D$10,F40,D$10-SUM(E$17:E40))</f>
        <v>653302.00880291942</v>
      </c>
      <c r="E41" s="484">
        <f>IF(+I14&lt;F40,I14,D41)</f>
        <v>33430.943333333329</v>
      </c>
      <c r="F41" s="485">
        <f t="shared" si="15"/>
        <v>619871.06546958606</v>
      </c>
      <c r="G41" s="486">
        <f t="shared" si="16"/>
        <v>100259.94333333333</v>
      </c>
      <c r="H41" s="455">
        <f t="shared" si="17"/>
        <v>100259.94333333333</v>
      </c>
      <c r="I41" s="475">
        <f t="shared" si="6"/>
        <v>0</v>
      </c>
      <c r="J41" s="475"/>
      <c r="K41" s="487"/>
      <c r="L41" s="478">
        <f t="shared" si="1"/>
        <v>0</v>
      </c>
      <c r="M41" s="487"/>
      <c r="N41" s="478">
        <f t="shared" si="3"/>
        <v>0</v>
      </c>
      <c r="O41" s="478">
        <f t="shared" si="4"/>
        <v>0</v>
      </c>
      <c r="P41" s="242"/>
    </row>
    <row r="42" spans="2:16">
      <c r="B42" s="160" t="str">
        <f t="shared" si="5"/>
        <v/>
      </c>
      <c r="C42" s="472">
        <f>IF(D11="","-",+C41+1)</f>
        <v>2036</v>
      </c>
      <c r="D42" s="485">
        <f>IF(F41+SUM(E$17:E41)=D$10,F41,D$10-SUM(E$17:E41))</f>
        <v>619871.06546958606</v>
      </c>
      <c r="E42" s="484">
        <f>IF(+I14&lt;F41,I14,D42)</f>
        <v>33430.943333333329</v>
      </c>
      <c r="F42" s="485">
        <f t="shared" si="15"/>
        <v>586440.1221362527</v>
      </c>
      <c r="G42" s="486">
        <f t="shared" si="16"/>
        <v>96655.943333333329</v>
      </c>
      <c r="H42" s="455">
        <f t="shared" si="17"/>
        <v>96655.943333333329</v>
      </c>
      <c r="I42" s="475">
        <f t="shared" si="6"/>
        <v>0</v>
      </c>
      <c r="J42" s="475"/>
      <c r="K42" s="487"/>
      <c r="L42" s="478">
        <f t="shared" si="1"/>
        <v>0</v>
      </c>
      <c r="M42" s="487"/>
      <c r="N42" s="478">
        <f t="shared" si="3"/>
        <v>0</v>
      </c>
      <c r="O42" s="478">
        <f t="shared" si="4"/>
        <v>0</v>
      </c>
      <c r="P42" s="242"/>
    </row>
    <row r="43" spans="2:16">
      <c r="B43" s="160" t="str">
        <f t="shared" si="5"/>
        <v/>
      </c>
      <c r="C43" s="472">
        <f>IF(D11="","-",+C42+1)</f>
        <v>2037</v>
      </c>
      <c r="D43" s="485">
        <f>IF(F42+SUM(E$17:E42)=D$10,F42,D$10-SUM(E$17:E42))</f>
        <v>586440.1221362527</v>
      </c>
      <c r="E43" s="484">
        <f>IF(+I14&lt;F42,I14,D43)</f>
        <v>33430.943333333329</v>
      </c>
      <c r="F43" s="485">
        <f t="shared" si="15"/>
        <v>553009.17880291934</v>
      </c>
      <c r="G43" s="486">
        <f t="shared" si="16"/>
        <v>93051.943333333329</v>
      </c>
      <c r="H43" s="455">
        <f t="shared" si="17"/>
        <v>93051.943333333329</v>
      </c>
      <c r="I43" s="475">
        <f t="shared" si="6"/>
        <v>0</v>
      </c>
      <c r="J43" s="475"/>
      <c r="K43" s="487"/>
      <c r="L43" s="478">
        <f t="shared" si="1"/>
        <v>0</v>
      </c>
      <c r="M43" s="487"/>
      <c r="N43" s="478">
        <f t="shared" si="3"/>
        <v>0</v>
      </c>
      <c r="O43" s="478">
        <f t="shared" si="4"/>
        <v>0</v>
      </c>
      <c r="P43" s="242"/>
    </row>
    <row r="44" spans="2:16">
      <c r="B44" s="160" t="str">
        <f t="shared" si="5"/>
        <v/>
      </c>
      <c r="C44" s="472">
        <f>IF(D11="","-",+C43+1)</f>
        <v>2038</v>
      </c>
      <c r="D44" s="485">
        <f>IF(F43+SUM(E$17:E43)=D$10,F43,D$10-SUM(E$17:E43))</f>
        <v>553009.17880291934</v>
      </c>
      <c r="E44" s="484">
        <f>IF(+I14&lt;F43,I14,D44)</f>
        <v>33430.943333333329</v>
      </c>
      <c r="F44" s="485">
        <f t="shared" si="15"/>
        <v>519578.23546958598</v>
      </c>
      <c r="G44" s="486">
        <f t="shared" si="16"/>
        <v>89446.943333333329</v>
      </c>
      <c r="H44" s="455">
        <f t="shared" si="17"/>
        <v>89446.943333333329</v>
      </c>
      <c r="I44" s="475">
        <f t="shared" si="6"/>
        <v>0</v>
      </c>
      <c r="J44" s="475"/>
      <c r="K44" s="487"/>
      <c r="L44" s="478">
        <f t="shared" si="1"/>
        <v>0</v>
      </c>
      <c r="M44" s="487"/>
      <c r="N44" s="478">
        <f t="shared" si="3"/>
        <v>0</v>
      </c>
      <c r="O44" s="478">
        <f t="shared" si="4"/>
        <v>0</v>
      </c>
      <c r="P44" s="242"/>
    </row>
    <row r="45" spans="2:16">
      <c r="B45" s="160" t="str">
        <f t="shared" si="5"/>
        <v/>
      </c>
      <c r="C45" s="472">
        <f>IF(D11="","-",+C44+1)</f>
        <v>2039</v>
      </c>
      <c r="D45" s="485">
        <f>IF(F44+SUM(E$17:E44)=D$10,F44,D$10-SUM(E$17:E44))</f>
        <v>519578.23546958598</v>
      </c>
      <c r="E45" s="484">
        <f>IF(+I14&lt;F44,I14,D45)</f>
        <v>33430.943333333329</v>
      </c>
      <c r="F45" s="485">
        <f t="shared" si="15"/>
        <v>486147.29213625262</v>
      </c>
      <c r="G45" s="486">
        <f t="shared" si="16"/>
        <v>85842.943333333329</v>
      </c>
      <c r="H45" s="455">
        <f t="shared" si="17"/>
        <v>85842.943333333329</v>
      </c>
      <c r="I45" s="475">
        <f t="shared" si="6"/>
        <v>0</v>
      </c>
      <c r="J45" s="475"/>
      <c r="K45" s="487"/>
      <c r="L45" s="478">
        <f t="shared" si="1"/>
        <v>0</v>
      </c>
      <c r="M45" s="487"/>
      <c r="N45" s="478">
        <f t="shared" si="3"/>
        <v>0</v>
      </c>
      <c r="O45" s="478">
        <f t="shared" si="4"/>
        <v>0</v>
      </c>
      <c r="P45" s="242"/>
    </row>
    <row r="46" spans="2:16">
      <c r="B46" s="160" t="str">
        <f t="shared" si="5"/>
        <v/>
      </c>
      <c r="C46" s="472">
        <f>IF(D11="","-",+C45+1)</f>
        <v>2040</v>
      </c>
      <c r="D46" s="485">
        <f>IF(F45+SUM(E$17:E45)=D$10,F45,D$10-SUM(E$17:E45))</f>
        <v>486147.29213625262</v>
      </c>
      <c r="E46" s="484">
        <f>IF(+I14&lt;F45,I14,D46)</f>
        <v>33430.943333333329</v>
      </c>
      <c r="F46" s="485">
        <f t="shared" si="15"/>
        <v>452716.34880291927</v>
      </c>
      <c r="G46" s="486">
        <f t="shared" si="16"/>
        <v>82238.943333333329</v>
      </c>
      <c r="H46" s="455">
        <f t="shared" si="17"/>
        <v>82238.943333333329</v>
      </c>
      <c r="I46" s="475">
        <f t="shared" si="6"/>
        <v>0</v>
      </c>
      <c r="J46" s="475"/>
      <c r="K46" s="487"/>
      <c r="L46" s="478">
        <f t="shared" si="1"/>
        <v>0</v>
      </c>
      <c r="M46" s="487"/>
      <c r="N46" s="478">
        <f t="shared" si="3"/>
        <v>0</v>
      </c>
      <c r="O46" s="478">
        <f t="shared" si="4"/>
        <v>0</v>
      </c>
      <c r="P46" s="242"/>
    </row>
    <row r="47" spans="2:16">
      <c r="B47" s="160" t="str">
        <f t="shared" si="5"/>
        <v/>
      </c>
      <c r="C47" s="472">
        <f>IF(D11="","-",+C46+1)</f>
        <v>2041</v>
      </c>
      <c r="D47" s="485">
        <f>IF(F46+SUM(E$17:E46)=D$10,F46,D$10-SUM(E$17:E46))</f>
        <v>452716.34880291927</v>
      </c>
      <c r="E47" s="484">
        <f>IF(+I14&lt;F46,I14,D47)</f>
        <v>33430.943333333329</v>
      </c>
      <c r="F47" s="485">
        <f t="shared" si="15"/>
        <v>419285.40546958591</v>
      </c>
      <c r="G47" s="486">
        <f t="shared" si="16"/>
        <v>78634.943333333329</v>
      </c>
      <c r="H47" s="455">
        <f t="shared" si="17"/>
        <v>78634.943333333329</v>
      </c>
      <c r="I47" s="475">
        <f t="shared" si="6"/>
        <v>0</v>
      </c>
      <c r="J47" s="475"/>
      <c r="K47" s="487"/>
      <c r="L47" s="478">
        <f t="shared" si="1"/>
        <v>0</v>
      </c>
      <c r="M47" s="487"/>
      <c r="N47" s="478">
        <f t="shared" si="3"/>
        <v>0</v>
      </c>
      <c r="O47" s="478">
        <f t="shared" si="4"/>
        <v>0</v>
      </c>
      <c r="P47" s="242"/>
    </row>
    <row r="48" spans="2:16">
      <c r="B48" s="160" t="str">
        <f t="shared" si="5"/>
        <v/>
      </c>
      <c r="C48" s="472">
        <f>IF(D11="","-",+C47+1)</f>
        <v>2042</v>
      </c>
      <c r="D48" s="485">
        <f>IF(F47+SUM(E$17:E47)=D$10,F47,D$10-SUM(E$17:E47))</f>
        <v>419285.40546958591</v>
      </c>
      <c r="E48" s="484">
        <f>IF(+I14&lt;F47,I14,D48)</f>
        <v>33430.943333333329</v>
      </c>
      <c r="F48" s="485">
        <f t="shared" si="15"/>
        <v>385854.46213625255</v>
      </c>
      <c r="G48" s="486">
        <f t="shared" si="16"/>
        <v>75029.943333333329</v>
      </c>
      <c r="H48" s="455">
        <f t="shared" si="17"/>
        <v>75029.943333333329</v>
      </c>
      <c r="I48" s="475">
        <f t="shared" si="6"/>
        <v>0</v>
      </c>
      <c r="J48" s="475"/>
      <c r="K48" s="487"/>
      <c r="L48" s="478">
        <f t="shared" si="1"/>
        <v>0</v>
      </c>
      <c r="M48" s="487"/>
      <c r="N48" s="478">
        <f t="shared" si="3"/>
        <v>0</v>
      </c>
      <c r="O48" s="478">
        <f t="shared" si="4"/>
        <v>0</v>
      </c>
      <c r="P48" s="242"/>
    </row>
    <row r="49" spans="2:16">
      <c r="B49" s="160" t="str">
        <f t="shared" si="5"/>
        <v/>
      </c>
      <c r="C49" s="472">
        <f>IF(D11="","-",+C48+1)</f>
        <v>2043</v>
      </c>
      <c r="D49" s="485">
        <f>IF(F48+SUM(E$17:E48)=D$10,F48,D$10-SUM(E$17:E48))</f>
        <v>385854.46213625255</v>
      </c>
      <c r="E49" s="484">
        <f>IF(+I14&lt;F48,I14,D49)</f>
        <v>33430.943333333329</v>
      </c>
      <c r="F49" s="485">
        <f t="shared" si="15"/>
        <v>352423.51880291919</v>
      </c>
      <c r="G49" s="486">
        <f t="shared" si="16"/>
        <v>71425.943333333329</v>
      </c>
      <c r="H49" s="455">
        <f t="shared" si="17"/>
        <v>71425.943333333329</v>
      </c>
      <c r="I49" s="475">
        <f t="shared" ref="I49:I72" si="18">H49-G49</f>
        <v>0</v>
      </c>
      <c r="J49" s="475"/>
      <c r="K49" s="487"/>
      <c r="L49" s="478">
        <f t="shared" ref="L49:L72" si="19">IF(K49&lt;&gt;0,+G49-K49,0)</f>
        <v>0</v>
      </c>
      <c r="M49" s="487"/>
      <c r="N49" s="478">
        <f t="shared" ref="N49:N72" si="20">IF(M49&lt;&gt;0,+H49-M49,0)</f>
        <v>0</v>
      </c>
      <c r="O49" s="478">
        <f t="shared" ref="O49:O72" si="21">+N49-L49</f>
        <v>0</v>
      </c>
      <c r="P49" s="242"/>
    </row>
    <row r="50" spans="2:16">
      <c r="B50" s="160" t="str">
        <f t="shared" ref="B50:B72" si="22">IF(D50=F49,"","IU")</f>
        <v/>
      </c>
      <c r="C50" s="472">
        <f>IF(D11="","-",+C49+1)</f>
        <v>2044</v>
      </c>
      <c r="D50" s="485">
        <f>IF(F49+SUM(E$17:E49)=D$10,F49,D$10-SUM(E$17:E49))</f>
        <v>352423.51880291919</v>
      </c>
      <c r="E50" s="484">
        <f>IF(+I14&lt;F49,I14,D50)</f>
        <v>33430.943333333329</v>
      </c>
      <c r="F50" s="485">
        <f t="shared" ref="F50:F72" si="23">+D50-E50</f>
        <v>318992.57546958583</v>
      </c>
      <c r="G50" s="486">
        <f t="shared" ref="G50:G72" si="24">ROUND(I$12*F50,0)+E50</f>
        <v>67821.943333333329</v>
      </c>
      <c r="H50" s="455">
        <f t="shared" ref="H50:H72" si="25">ROUND(I$13*F50,0)+E50</f>
        <v>67821.943333333329</v>
      </c>
      <c r="I50" s="475">
        <f t="shared" si="18"/>
        <v>0</v>
      </c>
      <c r="J50" s="475"/>
      <c r="K50" s="487"/>
      <c r="L50" s="478">
        <f t="shared" si="19"/>
        <v>0</v>
      </c>
      <c r="M50" s="487"/>
      <c r="N50" s="478">
        <f t="shared" si="20"/>
        <v>0</v>
      </c>
      <c r="O50" s="478">
        <f t="shared" si="21"/>
        <v>0</v>
      </c>
      <c r="P50" s="242"/>
    </row>
    <row r="51" spans="2:16">
      <c r="B51" s="160" t="str">
        <f t="shared" si="22"/>
        <v/>
      </c>
      <c r="C51" s="472">
        <f>IF(D11="","-",+C50+1)</f>
        <v>2045</v>
      </c>
      <c r="D51" s="485">
        <f>IF(F50+SUM(E$17:E50)=D$10,F50,D$10-SUM(E$17:E50))</f>
        <v>318992.57546958583</v>
      </c>
      <c r="E51" s="484">
        <f>IF(+I14&lt;F50,I14,D51)</f>
        <v>33430.943333333329</v>
      </c>
      <c r="F51" s="485">
        <f t="shared" si="23"/>
        <v>285561.63213625248</v>
      </c>
      <c r="G51" s="486">
        <f t="shared" si="24"/>
        <v>64217.943333333329</v>
      </c>
      <c r="H51" s="455">
        <f t="shared" si="25"/>
        <v>64217.943333333329</v>
      </c>
      <c r="I51" s="475">
        <f t="shared" si="18"/>
        <v>0</v>
      </c>
      <c r="J51" s="475"/>
      <c r="K51" s="487"/>
      <c r="L51" s="478">
        <f t="shared" si="19"/>
        <v>0</v>
      </c>
      <c r="M51" s="487"/>
      <c r="N51" s="478">
        <f t="shared" si="20"/>
        <v>0</v>
      </c>
      <c r="O51" s="478">
        <f t="shared" si="21"/>
        <v>0</v>
      </c>
      <c r="P51" s="242"/>
    </row>
    <row r="52" spans="2:16">
      <c r="B52" s="160" t="str">
        <f t="shared" si="22"/>
        <v/>
      </c>
      <c r="C52" s="472">
        <f>IF(D11="","-",+C51+1)</f>
        <v>2046</v>
      </c>
      <c r="D52" s="485">
        <f>IF(F51+SUM(E$17:E51)=D$10,F51,D$10-SUM(E$17:E51))</f>
        <v>285561.63213625248</v>
      </c>
      <c r="E52" s="484">
        <f>IF(+I14&lt;F51,I14,D52)</f>
        <v>33430.943333333329</v>
      </c>
      <c r="F52" s="485">
        <f t="shared" si="23"/>
        <v>252130.68880291915</v>
      </c>
      <c r="G52" s="486">
        <f t="shared" si="24"/>
        <v>60613.943333333329</v>
      </c>
      <c r="H52" s="455">
        <f t="shared" si="25"/>
        <v>60613.943333333329</v>
      </c>
      <c r="I52" s="475">
        <f t="shared" si="18"/>
        <v>0</v>
      </c>
      <c r="J52" s="475"/>
      <c r="K52" s="487"/>
      <c r="L52" s="478">
        <f t="shared" si="19"/>
        <v>0</v>
      </c>
      <c r="M52" s="487"/>
      <c r="N52" s="478">
        <f t="shared" si="20"/>
        <v>0</v>
      </c>
      <c r="O52" s="478">
        <f t="shared" si="21"/>
        <v>0</v>
      </c>
      <c r="P52" s="242"/>
    </row>
    <row r="53" spans="2:16">
      <c r="B53" s="160" t="str">
        <f t="shared" si="22"/>
        <v/>
      </c>
      <c r="C53" s="472">
        <f>IF(D11="","-",+C52+1)</f>
        <v>2047</v>
      </c>
      <c r="D53" s="485">
        <f>IF(F52+SUM(E$17:E52)=D$10,F52,D$10-SUM(E$17:E52))</f>
        <v>252130.68880291915</v>
      </c>
      <c r="E53" s="484">
        <f>IF(+I14&lt;F52,I14,D53)</f>
        <v>33430.943333333329</v>
      </c>
      <c r="F53" s="485">
        <f t="shared" si="23"/>
        <v>218699.74546958582</v>
      </c>
      <c r="G53" s="486">
        <f t="shared" si="24"/>
        <v>57008.943333333329</v>
      </c>
      <c r="H53" s="455">
        <f t="shared" si="25"/>
        <v>57008.943333333329</v>
      </c>
      <c r="I53" s="475">
        <f t="shared" si="18"/>
        <v>0</v>
      </c>
      <c r="J53" s="475"/>
      <c r="K53" s="487"/>
      <c r="L53" s="478">
        <f t="shared" si="19"/>
        <v>0</v>
      </c>
      <c r="M53" s="487"/>
      <c r="N53" s="478">
        <f t="shared" si="20"/>
        <v>0</v>
      </c>
      <c r="O53" s="478">
        <f t="shared" si="21"/>
        <v>0</v>
      </c>
      <c r="P53" s="242"/>
    </row>
    <row r="54" spans="2:16">
      <c r="B54" s="160" t="str">
        <f t="shared" si="22"/>
        <v/>
      </c>
      <c r="C54" s="472">
        <f>IF(D11="","-",+C53+1)</f>
        <v>2048</v>
      </c>
      <c r="D54" s="485">
        <f>IF(F53+SUM(E$17:E53)=D$10,F53,D$10-SUM(E$17:E53))</f>
        <v>218699.74546958582</v>
      </c>
      <c r="E54" s="484">
        <f>IF(+I14&lt;F53,I14,D54)</f>
        <v>33430.943333333329</v>
      </c>
      <c r="F54" s="485">
        <f t="shared" si="23"/>
        <v>185268.80213625249</v>
      </c>
      <c r="G54" s="486">
        <f t="shared" si="24"/>
        <v>53404.943333333329</v>
      </c>
      <c r="H54" s="455">
        <f t="shared" si="25"/>
        <v>53404.943333333329</v>
      </c>
      <c r="I54" s="475">
        <f t="shared" si="18"/>
        <v>0</v>
      </c>
      <c r="J54" s="475"/>
      <c r="K54" s="487"/>
      <c r="L54" s="478">
        <f t="shared" si="19"/>
        <v>0</v>
      </c>
      <c r="M54" s="487"/>
      <c r="N54" s="478">
        <f t="shared" si="20"/>
        <v>0</v>
      </c>
      <c r="O54" s="478">
        <f t="shared" si="21"/>
        <v>0</v>
      </c>
      <c r="P54" s="242"/>
    </row>
    <row r="55" spans="2:16">
      <c r="B55" s="160" t="str">
        <f t="shared" si="22"/>
        <v/>
      </c>
      <c r="C55" s="472">
        <f>IF(D11="","-",+C54+1)</f>
        <v>2049</v>
      </c>
      <c r="D55" s="485">
        <f>IF(F54+SUM(E$17:E54)=D$10,F54,D$10-SUM(E$17:E54))</f>
        <v>185268.80213625249</v>
      </c>
      <c r="E55" s="484">
        <f>IF(+I14&lt;F54,I14,D55)</f>
        <v>33430.943333333329</v>
      </c>
      <c r="F55" s="485">
        <f t="shared" si="23"/>
        <v>151837.85880291916</v>
      </c>
      <c r="G55" s="486">
        <f t="shared" si="24"/>
        <v>49800.943333333329</v>
      </c>
      <c r="H55" s="455">
        <f t="shared" si="25"/>
        <v>49800.943333333329</v>
      </c>
      <c r="I55" s="475">
        <f t="shared" si="18"/>
        <v>0</v>
      </c>
      <c r="J55" s="475"/>
      <c r="K55" s="487"/>
      <c r="L55" s="478">
        <f t="shared" si="19"/>
        <v>0</v>
      </c>
      <c r="M55" s="487"/>
      <c r="N55" s="478">
        <f t="shared" si="20"/>
        <v>0</v>
      </c>
      <c r="O55" s="478">
        <f t="shared" si="21"/>
        <v>0</v>
      </c>
      <c r="P55" s="242"/>
    </row>
    <row r="56" spans="2:16">
      <c r="B56" s="160" t="str">
        <f t="shared" si="22"/>
        <v/>
      </c>
      <c r="C56" s="472">
        <f>IF(D11="","-",+C55+1)</f>
        <v>2050</v>
      </c>
      <c r="D56" s="485">
        <f>IF(F55+SUM(E$17:E55)=D$10,F55,D$10-SUM(E$17:E55))</f>
        <v>151837.85880291916</v>
      </c>
      <c r="E56" s="484">
        <f>IF(+I14&lt;F55,I14,D56)</f>
        <v>33430.943333333329</v>
      </c>
      <c r="F56" s="485">
        <f t="shared" si="23"/>
        <v>118406.91546958583</v>
      </c>
      <c r="G56" s="486">
        <f t="shared" si="24"/>
        <v>46196.943333333329</v>
      </c>
      <c r="H56" s="455">
        <f t="shared" si="25"/>
        <v>46196.943333333329</v>
      </c>
      <c r="I56" s="475">
        <f t="shared" si="18"/>
        <v>0</v>
      </c>
      <c r="J56" s="475"/>
      <c r="K56" s="487"/>
      <c r="L56" s="478">
        <f t="shared" si="19"/>
        <v>0</v>
      </c>
      <c r="M56" s="487"/>
      <c r="N56" s="478">
        <f t="shared" si="20"/>
        <v>0</v>
      </c>
      <c r="O56" s="478">
        <f t="shared" si="21"/>
        <v>0</v>
      </c>
      <c r="P56" s="242"/>
    </row>
    <row r="57" spans="2:16">
      <c r="B57" s="160" t="str">
        <f t="shared" si="22"/>
        <v/>
      </c>
      <c r="C57" s="472">
        <f>IF(D11="","-",+C56+1)</f>
        <v>2051</v>
      </c>
      <c r="D57" s="485">
        <f>IF(F56+SUM(E$17:E56)=D$10,F56,D$10-SUM(E$17:E56))</f>
        <v>118406.91546958583</v>
      </c>
      <c r="E57" s="484">
        <f>IF(+I14&lt;F56,I14,D57)</f>
        <v>33430.943333333329</v>
      </c>
      <c r="F57" s="485">
        <f t="shared" si="23"/>
        <v>84975.972136252502</v>
      </c>
      <c r="G57" s="486">
        <f t="shared" si="24"/>
        <v>42591.943333333329</v>
      </c>
      <c r="H57" s="455">
        <f t="shared" si="25"/>
        <v>42591.943333333329</v>
      </c>
      <c r="I57" s="475">
        <f t="shared" si="18"/>
        <v>0</v>
      </c>
      <c r="J57" s="475"/>
      <c r="K57" s="487"/>
      <c r="L57" s="478">
        <f t="shared" si="19"/>
        <v>0</v>
      </c>
      <c r="M57" s="487"/>
      <c r="N57" s="478">
        <f t="shared" si="20"/>
        <v>0</v>
      </c>
      <c r="O57" s="478">
        <f t="shared" si="21"/>
        <v>0</v>
      </c>
      <c r="P57" s="242"/>
    </row>
    <row r="58" spans="2:16">
      <c r="B58" s="160" t="str">
        <f t="shared" si="22"/>
        <v/>
      </c>
      <c r="C58" s="472">
        <f>IF(D11="","-",+C57+1)</f>
        <v>2052</v>
      </c>
      <c r="D58" s="485">
        <f>IF(F57+SUM(E$17:E57)=D$10,F57,D$10-SUM(E$17:E57))</f>
        <v>84975.972136252502</v>
      </c>
      <c r="E58" s="484">
        <f>IF(+I14&lt;F57,I14,D58)</f>
        <v>33430.943333333329</v>
      </c>
      <c r="F58" s="485">
        <f t="shared" si="23"/>
        <v>51545.028802919172</v>
      </c>
      <c r="G58" s="486">
        <f t="shared" si="24"/>
        <v>38987.943333333329</v>
      </c>
      <c r="H58" s="455">
        <f t="shared" si="25"/>
        <v>38987.943333333329</v>
      </c>
      <c r="I58" s="475">
        <f t="shared" si="18"/>
        <v>0</v>
      </c>
      <c r="J58" s="475"/>
      <c r="K58" s="487"/>
      <c r="L58" s="478">
        <f t="shared" si="19"/>
        <v>0</v>
      </c>
      <c r="M58" s="487"/>
      <c r="N58" s="478">
        <f t="shared" si="20"/>
        <v>0</v>
      </c>
      <c r="O58" s="478">
        <f t="shared" si="21"/>
        <v>0</v>
      </c>
      <c r="P58" s="242"/>
    </row>
    <row r="59" spans="2:16">
      <c r="B59" s="160" t="str">
        <f t="shared" si="22"/>
        <v/>
      </c>
      <c r="C59" s="472">
        <f>IF(D11="","-",+C58+1)</f>
        <v>2053</v>
      </c>
      <c r="D59" s="485">
        <f>IF(F58+SUM(E$17:E58)=D$10,F58,D$10-SUM(E$17:E58))</f>
        <v>51545.028802919172</v>
      </c>
      <c r="E59" s="484">
        <f>IF(+I14&lt;F58,I14,D59)</f>
        <v>33430.943333333329</v>
      </c>
      <c r="F59" s="485">
        <f t="shared" si="23"/>
        <v>18114.085469585843</v>
      </c>
      <c r="G59" s="486">
        <f t="shared" si="24"/>
        <v>35383.943333333329</v>
      </c>
      <c r="H59" s="455">
        <f t="shared" si="25"/>
        <v>35383.943333333329</v>
      </c>
      <c r="I59" s="475">
        <f t="shared" si="18"/>
        <v>0</v>
      </c>
      <c r="J59" s="475"/>
      <c r="K59" s="487"/>
      <c r="L59" s="478">
        <f t="shared" si="19"/>
        <v>0</v>
      </c>
      <c r="M59" s="487"/>
      <c r="N59" s="478">
        <f t="shared" si="20"/>
        <v>0</v>
      </c>
      <c r="O59" s="478">
        <f t="shared" si="21"/>
        <v>0</v>
      </c>
      <c r="P59" s="242"/>
    </row>
    <row r="60" spans="2:16">
      <c r="B60" s="160" t="str">
        <f t="shared" si="22"/>
        <v/>
      </c>
      <c r="C60" s="472">
        <f>IF(D11="","-",+C59+1)</f>
        <v>2054</v>
      </c>
      <c r="D60" s="485">
        <f>IF(F59+SUM(E$17:E59)=D$10,F59,D$10-SUM(E$17:E59))</f>
        <v>18114.085469585843</v>
      </c>
      <c r="E60" s="484">
        <f>IF(+I14&lt;F59,I14,D60)</f>
        <v>18114.085469585843</v>
      </c>
      <c r="F60" s="485">
        <f t="shared" si="23"/>
        <v>0</v>
      </c>
      <c r="G60" s="486">
        <f t="shared" si="24"/>
        <v>18114.085469585843</v>
      </c>
      <c r="H60" s="455">
        <f t="shared" si="25"/>
        <v>18114.085469585843</v>
      </c>
      <c r="I60" s="475">
        <f t="shared" si="18"/>
        <v>0</v>
      </c>
      <c r="J60" s="475"/>
      <c r="K60" s="487"/>
      <c r="L60" s="478">
        <f t="shared" si="19"/>
        <v>0</v>
      </c>
      <c r="M60" s="487"/>
      <c r="N60" s="478">
        <f t="shared" si="20"/>
        <v>0</v>
      </c>
      <c r="O60" s="478">
        <f t="shared" si="21"/>
        <v>0</v>
      </c>
      <c r="P60" s="242"/>
    </row>
    <row r="61" spans="2:16">
      <c r="B61" s="160" t="str">
        <f t="shared" si="22"/>
        <v/>
      </c>
      <c r="C61" s="472">
        <f>IF(D11="","-",+C60+1)</f>
        <v>2055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3"/>
        <v>0</v>
      </c>
      <c r="G61" s="488">
        <f t="shared" si="24"/>
        <v>0</v>
      </c>
      <c r="H61" s="455">
        <f t="shared" si="25"/>
        <v>0</v>
      </c>
      <c r="I61" s="475">
        <f t="shared" si="18"/>
        <v>0</v>
      </c>
      <c r="J61" s="475"/>
      <c r="K61" s="487"/>
      <c r="L61" s="478">
        <f t="shared" si="19"/>
        <v>0</v>
      </c>
      <c r="M61" s="487"/>
      <c r="N61" s="478">
        <f t="shared" si="20"/>
        <v>0</v>
      </c>
      <c r="O61" s="478">
        <f t="shared" si="21"/>
        <v>0</v>
      </c>
      <c r="P61" s="242"/>
    </row>
    <row r="62" spans="2:16">
      <c r="B62" s="160" t="str">
        <f t="shared" si="22"/>
        <v/>
      </c>
      <c r="C62" s="472">
        <f>IF(D11="","-",+C61+1)</f>
        <v>2056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3"/>
        <v>0</v>
      </c>
      <c r="G62" s="488">
        <f t="shared" si="24"/>
        <v>0</v>
      </c>
      <c r="H62" s="455">
        <f t="shared" si="25"/>
        <v>0</v>
      </c>
      <c r="I62" s="475">
        <f t="shared" si="18"/>
        <v>0</v>
      </c>
      <c r="J62" s="475"/>
      <c r="K62" s="487"/>
      <c r="L62" s="478">
        <f t="shared" si="19"/>
        <v>0</v>
      </c>
      <c r="M62" s="487"/>
      <c r="N62" s="478">
        <f t="shared" si="20"/>
        <v>0</v>
      </c>
      <c r="O62" s="478">
        <f t="shared" si="21"/>
        <v>0</v>
      </c>
      <c r="P62" s="242"/>
    </row>
    <row r="63" spans="2:16">
      <c r="B63" s="160" t="str">
        <f t="shared" si="22"/>
        <v/>
      </c>
      <c r="C63" s="472">
        <f>IF(D11="","-",+C62+1)</f>
        <v>2057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3"/>
        <v>0</v>
      </c>
      <c r="G63" s="488">
        <f t="shared" si="24"/>
        <v>0</v>
      </c>
      <c r="H63" s="455">
        <f t="shared" si="25"/>
        <v>0</v>
      </c>
      <c r="I63" s="475">
        <f t="shared" si="18"/>
        <v>0</v>
      </c>
      <c r="J63" s="475"/>
      <c r="K63" s="487"/>
      <c r="L63" s="478">
        <f t="shared" si="19"/>
        <v>0</v>
      </c>
      <c r="M63" s="487"/>
      <c r="N63" s="478">
        <f t="shared" si="20"/>
        <v>0</v>
      </c>
      <c r="O63" s="478">
        <f t="shared" si="21"/>
        <v>0</v>
      </c>
      <c r="P63" s="242"/>
    </row>
    <row r="64" spans="2:16">
      <c r="B64" s="160" t="str">
        <f t="shared" si="22"/>
        <v/>
      </c>
      <c r="C64" s="472">
        <f>IF(D11="","-",+C63+1)</f>
        <v>2058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3"/>
        <v>0</v>
      </c>
      <c r="G64" s="488">
        <f t="shared" si="24"/>
        <v>0</v>
      </c>
      <c r="H64" s="455">
        <f t="shared" si="25"/>
        <v>0</v>
      </c>
      <c r="I64" s="475">
        <f t="shared" si="18"/>
        <v>0</v>
      </c>
      <c r="J64" s="475"/>
      <c r="K64" s="487"/>
      <c r="L64" s="478">
        <f t="shared" si="19"/>
        <v>0</v>
      </c>
      <c r="M64" s="487"/>
      <c r="N64" s="478">
        <f t="shared" si="20"/>
        <v>0</v>
      </c>
      <c r="O64" s="478">
        <f t="shared" si="21"/>
        <v>0</v>
      </c>
      <c r="P64" s="242"/>
    </row>
    <row r="65" spans="2:16">
      <c r="B65" s="160" t="str">
        <f t="shared" si="22"/>
        <v/>
      </c>
      <c r="C65" s="472">
        <f>IF(D11="","-",+C64+1)</f>
        <v>2059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3"/>
        <v>0</v>
      </c>
      <c r="G65" s="488">
        <f t="shared" si="24"/>
        <v>0</v>
      </c>
      <c r="H65" s="455">
        <f t="shared" si="25"/>
        <v>0</v>
      </c>
      <c r="I65" s="475">
        <f t="shared" si="18"/>
        <v>0</v>
      </c>
      <c r="J65" s="475"/>
      <c r="K65" s="487"/>
      <c r="L65" s="478">
        <f t="shared" si="19"/>
        <v>0</v>
      </c>
      <c r="M65" s="487"/>
      <c r="N65" s="478">
        <f t="shared" si="20"/>
        <v>0</v>
      </c>
      <c r="O65" s="478">
        <f t="shared" si="21"/>
        <v>0</v>
      </c>
      <c r="P65" s="242"/>
    </row>
    <row r="66" spans="2:16">
      <c r="B66" s="160" t="str">
        <f t="shared" si="22"/>
        <v/>
      </c>
      <c r="C66" s="472">
        <f>IF(D11="","-",+C65+1)</f>
        <v>2060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3"/>
        <v>0</v>
      </c>
      <c r="G66" s="488">
        <f t="shared" si="24"/>
        <v>0</v>
      </c>
      <c r="H66" s="455">
        <f t="shared" si="25"/>
        <v>0</v>
      </c>
      <c r="I66" s="475">
        <f t="shared" si="18"/>
        <v>0</v>
      </c>
      <c r="J66" s="475"/>
      <c r="K66" s="487"/>
      <c r="L66" s="478">
        <f t="shared" si="19"/>
        <v>0</v>
      </c>
      <c r="M66" s="487"/>
      <c r="N66" s="478">
        <f t="shared" si="20"/>
        <v>0</v>
      </c>
      <c r="O66" s="478">
        <f t="shared" si="21"/>
        <v>0</v>
      </c>
      <c r="P66" s="242"/>
    </row>
    <row r="67" spans="2:16">
      <c r="B67" s="160" t="str">
        <f t="shared" si="22"/>
        <v/>
      </c>
      <c r="C67" s="472">
        <f>IF(D11="","-",+C66+1)</f>
        <v>2061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3"/>
        <v>0</v>
      </c>
      <c r="G67" s="488">
        <f t="shared" si="24"/>
        <v>0</v>
      </c>
      <c r="H67" s="455">
        <f t="shared" si="25"/>
        <v>0</v>
      </c>
      <c r="I67" s="475">
        <f t="shared" si="18"/>
        <v>0</v>
      </c>
      <c r="J67" s="475"/>
      <c r="K67" s="487"/>
      <c r="L67" s="478">
        <f t="shared" si="19"/>
        <v>0</v>
      </c>
      <c r="M67" s="487"/>
      <c r="N67" s="478">
        <f t="shared" si="20"/>
        <v>0</v>
      </c>
      <c r="O67" s="478">
        <f t="shared" si="21"/>
        <v>0</v>
      </c>
      <c r="P67" s="242"/>
    </row>
    <row r="68" spans="2:16">
      <c r="B68" s="160" t="str">
        <f t="shared" si="22"/>
        <v/>
      </c>
      <c r="C68" s="472">
        <f>IF(D11="","-",+C67+1)</f>
        <v>2062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3"/>
        <v>0</v>
      </c>
      <c r="G68" s="488">
        <f t="shared" si="24"/>
        <v>0</v>
      </c>
      <c r="H68" s="455">
        <f t="shared" si="25"/>
        <v>0</v>
      </c>
      <c r="I68" s="475">
        <f t="shared" si="18"/>
        <v>0</v>
      </c>
      <c r="J68" s="475"/>
      <c r="K68" s="487"/>
      <c r="L68" s="478">
        <f t="shared" si="19"/>
        <v>0</v>
      </c>
      <c r="M68" s="487"/>
      <c r="N68" s="478">
        <f t="shared" si="20"/>
        <v>0</v>
      </c>
      <c r="O68" s="478">
        <f t="shared" si="21"/>
        <v>0</v>
      </c>
      <c r="P68" s="242"/>
    </row>
    <row r="69" spans="2:16">
      <c r="B69" s="160" t="str">
        <f t="shared" si="22"/>
        <v/>
      </c>
      <c r="C69" s="472">
        <f>IF(D11="","-",+C68+1)</f>
        <v>2063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3"/>
        <v>0</v>
      </c>
      <c r="G69" s="488">
        <f t="shared" si="24"/>
        <v>0</v>
      </c>
      <c r="H69" s="455">
        <f t="shared" si="25"/>
        <v>0</v>
      </c>
      <c r="I69" s="475">
        <f t="shared" si="18"/>
        <v>0</v>
      </c>
      <c r="J69" s="475"/>
      <c r="K69" s="487"/>
      <c r="L69" s="478">
        <f t="shared" si="19"/>
        <v>0</v>
      </c>
      <c r="M69" s="487"/>
      <c r="N69" s="478">
        <f t="shared" si="20"/>
        <v>0</v>
      </c>
      <c r="O69" s="478">
        <f t="shared" si="21"/>
        <v>0</v>
      </c>
      <c r="P69" s="242"/>
    </row>
    <row r="70" spans="2:16">
      <c r="B70" s="160" t="str">
        <f t="shared" si="22"/>
        <v/>
      </c>
      <c r="C70" s="472">
        <f>IF(D11="","-",+C69+1)</f>
        <v>2064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3"/>
        <v>0</v>
      </c>
      <c r="G70" s="488">
        <f t="shared" si="24"/>
        <v>0</v>
      </c>
      <c r="H70" s="455">
        <f t="shared" si="25"/>
        <v>0</v>
      </c>
      <c r="I70" s="475">
        <f t="shared" si="18"/>
        <v>0</v>
      </c>
      <c r="J70" s="475"/>
      <c r="K70" s="487"/>
      <c r="L70" s="478">
        <f t="shared" si="19"/>
        <v>0</v>
      </c>
      <c r="M70" s="487"/>
      <c r="N70" s="478">
        <f t="shared" si="20"/>
        <v>0</v>
      </c>
      <c r="O70" s="478">
        <f t="shared" si="21"/>
        <v>0</v>
      </c>
      <c r="P70" s="242"/>
    </row>
    <row r="71" spans="2:16">
      <c r="B71" s="160" t="str">
        <f t="shared" si="22"/>
        <v/>
      </c>
      <c r="C71" s="472">
        <f>IF(D11="","-",+C70+1)</f>
        <v>2065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3"/>
        <v>0</v>
      </c>
      <c r="G71" s="488">
        <f t="shared" si="24"/>
        <v>0</v>
      </c>
      <c r="H71" s="455">
        <f t="shared" si="25"/>
        <v>0</v>
      </c>
      <c r="I71" s="475">
        <f t="shared" si="18"/>
        <v>0</v>
      </c>
      <c r="J71" s="475"/>
      <c r="K71" s="487"/>
      <c r="L71" s="478">
        <f t="shared" si="19"/>
        <v>0</v>
      </c>
      <c r="M71" s="487"/>
      <c r="N71" s="478">
        <f t="shared" si="20"/>
        <v>0</v>
      </c>
      <c r="O71" s="478">
        <f t="shared" si="21"/>
        <v>0</v>
      </c>
      <c r="P71" s="242"/>
    </row>
    <row r="72" spans="2:16" ht="13.5" thickBot="1">
      <c r="B72" s="160" t="str">
        <f t="shared" si="22"/>
        <v/>
      </c>
      <c r="C72" s="489">
        <f>IF(D11="","-",+C71+1)</f>
        <v>2066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3"/>
        <v>0</v>
      </c>
      <c r="G72" s="492">
        <f t="shared" si="24"/>
        <v>0</v>
      </c>
      <c r="H72" s="435">
        <f t="shared" si="25"/>
        <v>0</v>
      </c>
      <c r="I72" s="493">
        <f t="shared" si="18"/>
        <v>0</v>
      </c>
      <c r="J72" s="475"/>
      <c r="K72" s="494"/>
      <c r="L72" s="495">
        <f t="shared" si="19"/>
        <v>0</v>
      </c>
      <c r="M72" s="494"/>
      <c r="N72" s="495">
        <f t="shared" si="20"/>
        <v>0</v>
      </c>
      <c r="O72" s="495">
        <f t="shared" si="21"/>
        <v>0</v>
      </c>
      <c r="P72" s="242"/>
    </row>
    <row r="73" spans="2:16">
      <c r="C73" s="346" t="s">
        <v>77</v>
      </c>
      <c r="D73" s="347"/>
      <c r="E73" s="347">
        <f>SUM(E17:E72)</f>
        <v>1404099.6199999999</v>
      </c>
      <c r="F73" s="347"/>
      <c r="G73" s="347">
        <f>SUM(G17:G72)</f>
        <v>5093740.6570557794</v>
      </c>
      <c r="H73" s="347">
        <f>SUM(H17:H72)</f>
        <v>5093740.6570557794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11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156683.13262286683</v>
      </c>
      <c r="N87" s="508">
        <f>IF(J92&lt;D11,0,VLOOKUP(J92,C17:O72,11))</f>
        <v>156683.13262286683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163464.31672839285</v>
      </c>
      <c r="N88" s="512">
        <f>IF(J92&lt;D11,0,VLOOKUP(J92,C99:P154,7))</f>
        <v>163464.31672839285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Bartlesville SE to Coffeyville T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6781.1841055260156</v>
      </c>
      <c r="N89" s="517">
        <f>+N88-N87</f>
        <v>6781.1841055260156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TP2008079-PSO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D10</f>
        <v>1404099.6199999999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33431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2011</v>
      </c>
      <c r="D99" s="473">
        <v>0</v>
      </c>
      <c r="E99" s="480">
        <v>13815</v>
      </c>
      <c r="F99" s="573">
        <v>1422922</v>
      </c>
      <c r="G99" s="537">
        <v>711461</v>
      </c>
      <c r="H99" s="539">
        <v>113286.80836539247</v>
      </c>
      <c r="I99" s="539">
        <v>113286.80836539247</v>
      </c>
      <c r="J99" s="478">
        <f t="shared" ref="J99:J130" si="26">+I99-H99</f>
        <v>0</v>
      </c>
      <c r="K99" s="574"/>
      <c r="L99" s="567">
        <f t="shared" ref="L99:L104" si="27">H99</f>
        <v>113286.80836539247</v>
      </c>
      <c r="M99" s="575">
        <f t="shared" ref="M99:M130" si="28">IF(L99&lt;&gt;0,+H99-L99,0)</f>
        <v>0</v>
      </c>
      <c r="N99" s="567">
        <f t="shared" ref="N99:N104" si="29">I99</f>
        <v>113286.80836539247</v>
      </c>
      <c r="O99" s="477">
        <f t="shared" ref="O99:O130" si="30">IF(N99&lt;&gt;0,+I99-N99,0)</f>
        <v>0</v>
      </c>
      <c r="P99" s="348">
        <f t="shared" ref="P99:P130" si="31">+O99-M99</f>
        <v>0</v>
      </c>
    </row>
    <row r="100" spans="1:16">
      <c r="B100" s="160" t="str">
        <f t="shared" ref="B100:B131" si="32">IF(D100=F99,"","IU")</f>
        <v>IU</v>
      </c>
      <c r="C100" s="472">
        <f>IF(D93="","-",+C99+1)</f>
        <v>2012</v>
      </c>
      <c r="D100" s="473">
        <v>1479908</v>
      </c>
      <c r="E100" s="480">
        <v>28725</v>
      </c>
      <c r="F100" s="573">
        <v>1451183</v>
      </c>
      <c r="G100" s="479">
        <v>1465545.5</v>
      </c>
      <c r="H100" s="539">
        <v>239551.75399863988</v>
      </c>
      <c r="I100" s="539">
        <v>239551.75399863988</v>
      </c>
      <c r="J100" s="478">
        <v>0</v>
      </c>
      <c r="K100" s="574"/>
      <c r="L100" s="540">
        <f t="shared" si="27"/>
        <v>239551.75399863988</v>
      </c>
      <c r="M100" s="575">
        <f t="shared" ref="M100:M105" si="33">IF(L100&lt;&gt;0,+H100-L100,0)</f>
        <v>0</v>
      </c>
      <c r="N100" s="540">
        <f t="shared" si="29"/>
        <v>239551.75399863988</v>
      </c>
      <c r="O100" s="478">
        <f t="shared" ref="O100:O105" si="34">IF(N100&lt;&gt;0,+I100-N100,0)</f>
        <v>0</v>
      </c>
      <c r="P100" s="348">
        <f t="shared" ref="P100:P105" si="35">+O100-M100</f>
        <v>0</v>
      </c>
    </row>
    <row r="101" spans="1:16">
      <c r="B101" s="160" t="str">
        <f t="shared" si="32"/>
        <v/>
      </c>
      <c r="C101" s="472">
        <f>IF(D93="","-",+C100+1)</f>
        <v>2013</v>
      </c>
      <c r="D101" s="473">
        <v>1451183</v>
      </c>
      <c r="E101" s="480">
        <v>28725</v>
      </c>
      <c r="F101" s="573">
        <v>1422458</v>
      </c>
      <c r="G101" s="479">
        <v>1436820.5</v>
      </c>
      <c r="H101" s="539">
        <v>235540.35933406017</v>
      </c>
      <c r="I101" s="539">
        <v>235540.35933406017</v>
      </c>
      <c r="J101" s="478">
        <v>0</v>
      </c>
      <c r="K101" s="574"/>
      <c r="L101" s="540">
        <f t="shared" si="27"/>
        <v>235540.35933406017</v>
      </c>
      <c r="M101" s="575">
        <f t="shared" si="33"/>
        <v>0</v>
      </c>
      <c r="N101" s="540">
        <f t="shared" si="29"/>
        <v>235540.35933406017</v>
      </c>
      <c r="O101" s="478">
        <f t="shared" si="34"/>
        <v>0</v>
      </c>
      <c r="P101" s="348">
        <f t="shared" si="35"/>
        <v>0</v>
      </c>
    </row>
    <row r="102" spans="1:16">
      <c r="B102" s="160" t="str">
        <f t="shared" si="32"/>
        <v>IU</v>
      </c>
      <c r="C102" s="472">
        <f>IF(D93="","-",+C101+1)</f>
        <v>2014</v>
      </c>
      <c r="D102" s="473">
        <v>1332834.6199999999</v>
      </c>
      <c r="E102" s="480">
        <v>27002</v>
      </c>
      <c r="F102" s="573">
        <v>1305832.6199999999</v>
      </c>
      <c r="G102" s="479">
        <v>1319333.6199999999</v>
      </c>
      <c r="H102" s="539">
        <v>212494.91385632072</v>
      </c>
      <c r="I102" s="539">
        <v>212494.91385632072</v>
      </c>
      <c r="J102" s="478">
        <v>0</v>
      </c>
      <c r="K102" s="574"/>
      <c r="L102" s="540">
        <f t="shared" si="27"/>
        <v>212494.91385632072</v>
      </c>
      <c r="M102" s="575">
        <f t="shared" si="33"/>
        <v>0</v>
      </c>
      <c r="N102" s="540">
        <f t="shared" si="29"/>
        <v>212494.91385632072</v>
      </c>
      <c r="O102" s="478">
        <f t="shared" si="34"/>
        <v>0</v>
      </c>
      <c r="P102" s="348">
        <f t="shared" si="35"/>
        <v>0</v>
      </c>
    </row>
    <row r="103" spans="1:16">
      <c r="B103" s="160" t="str">
        <f t="shared" si="32"/>
        <v/>
      </c>
      <c r="C103" s="472">
        <f>IF(D93="","-",+C102+1)</f>
        <v>2015</v>
      </c>
      <c r="D103" s="473">
        <v>1305832.6199999999</v>
      </c>
      <c r="E103" s="480">
        <v>27002</v>
      </c>
      <c r="F103" s="573">
        <v>1278830.6199999999</v>
      </c>
      <c r="G103" s="479">
        <v>1292331.6199999999</v>
      </c>
      <c r="H103" s="539">
        <v>203330.25869072074</v>
      </c>
      <c r="I103" s="539">
        <v>203330.25869072074</v>
      </c>
      <c r="J103" s="478">
        <f t="shared" si="26"/>
        <v>0</v>
      </c>
      <c r="K103" s="574"/>
      <c r="L103" s="540">
        <f t="shared" si="27"/>
        <v>203330.25869072074</v>
      </c>
      <c r="M103" s="575">
        <f t="shared" si="33"/>
        <v>0</v>
      </c>
      <c r="N103" s="540">
        <f t="shared" si="29"/>
        <v>203330.25869072074</v>
      </c>
      <c r="O103" s="478">
        <f t="shared" si="34"/>
        <v>0</v>
      </c>
      <c r="P103" s="348">
        <f t="shared" si="35"/>
        <v>0</v>
      </c>
    </row>
    <row r="104" spans="1:16">
      <c r="B104" s="160" t="str">
        <f t="shared" si="32"/>
        <v/>
      </c>
      <c r="C104" s="472">
        <f>IF(D93="","-",+C103+1)</f>
        <v>2016</v>
      </c>
      <c r="D104" s="473">
        <v>1278830.6199999999</v>
      </c>
      <c r="E104" s="480">
        <v>30524</v>
      </c>
      <c r="F104" s="573">
        <v>1248306.6199999999</v>
      </c>
      <c r="G104" s="479">
        <v>1263568.6199999999</v>
      </c>
      <c r="H104" s="539">
        <v>193417.89490142919</v>
      </c>
      <c r="I104" s="539">
        <v>193417.89490142919</v>
      </c>
      <c r="J104" s="478">
        <f t="shared" si="26"/>
        <v>0</v>
      </c>
      <c r="K104" s="478"/>
      <c r="L104" s="540">
        <f t="shared" si="27"/>
        <v>193417.89490142919</v>
      </c>
      <c r="M104" s="575">
        <f t="shared" si="33"/>
        <v>0</v>
      </c>
      <c r="N104" s="540">
        <f t="shared" si="29"/>
        <v>193417.89490142919</v>
      </c>
      <c r="O104" s="478">
        <f t="shared" si="34"/>
        <v>0</v>
      </c>
      <c r="P104" s="348">
        <f t="shared" si="35"/>
        <v>0</v>
      </c>
    </row>
    <row r="105" spans="1:16">
      <c r="B105" s="160" t="str">
        <f t="shared" si="32"/>
        <v/>
      </c>
      <c r="C105" s="472">
        <f>IF(D93="","-",+C104+1)</f>
        <v>2017</v>
      </c>
      <c r="D105" s="473">
        <v>1248306.6199999999</v>
      </c>
      <c r="E105" s="480">
        <v>30524</v>
      </c>
      <c r="F105" s="573">
        <v>1217782.6199999999</v>
      </c>
      <c r="G105" s="479">
        <v>1233044.6199999999</v>
      </c>
      <c r="H105" s="539">
        <v>186938.81917011391</v>
      </c>
      <c r="I105" s="539">
        <v>186938.81917011391</v>
      </c>
      <c r="J105" s="478">
        <f t="shared" si="26"/>
        <v>0</v>
      </c>
      <c r="K105" s="478"/>
      <c r="L105" s="540">
        <f>H105</f>
        <v>186938.81917011391</v>
      </c>
      <c r="M105" s="575">
        <f t="shared" si="33"/>
        <v>0</v>
      </c>
      <c r="N105" s="540">
        <f>I105</f>
        <v>186938.81917011391</v>
      </c>
      <c r="O105" s="478">
        <f t="shared" si="34"/>
        <v>0</v>
      </c>
      <c r="P105" s="348">
        <f t="shared" si="35"/>
        <v>0</v>
      </c>
    </row>
    <row r="106" spans="1:16">
      <c r="B106" s="160" t="str">
        <f t="shared" si="32"/>
        <v/>
      </c>
      <c r="C106" s="472">
        <f>IF(D93="","-",+C105+1)</f>
        <v>2018</v>
      </c>
      <c r="D106" s="473">
        <v>1217782.6199999999</v>
      </c>
      <c r="E106" s="480">
        <v>32653</v>
      </c>
      <c r="F106" s="573">
        <v>1185129.6199999999</v>
      </c>
      <c r="G106" s="479">
        <v>1201456.1199999999</v>
      </c>
      <c r="H106" s="539">
        <v>156085.27550586959</v>
      </c>
      <c r="I106" s="539">
        <v>156085.27550586959</v>
      </c>
      <c r="J106" s="478">
        <f t="shared" si="26"/>
        <v>0</v>
      </c>
      <c r="K106" s="478"/>
      <c r="L106" s="540">
        <f>H106</f>
        <v>156085.27550586959</v>
      </c>
      <c r="M106" s="575">
        <f t="shared" ref="M106" si="36">IF(L106&lt;&gt;0,+H106-L106,0)</f>
        <v>0</v>
      </c>
      <c r="N106" s="540">
        <f>I106</f>
        <v>156085.27550586959</v>
      </c>
      <c r="O106" s="478">
        <f t="shared" ref="O106" si="37">IF(N106&lt;&gt;0,+I106-N106,0)</f>
        <v>0</v>
      </c>
      <c r="P106" s="348">
        <f t="shared" ref="P106" si="38">+O106-M106</f>
        <v>0</v>
      </c>
    </row>
    <row r="107" spans="1:16">
      <c r="B107" s="160" t="str">
        <f t="shared" si="32"/>
        <v/>
      </c>
      <c r="C107" s="472">
        <f>IF(D93="","-",+C106+1)</f>
        <v>2019</v>
      </c>
      <c r="D107" s="473">
        <v>1185129.6199999999</v>
      </c>
      <c r="E107" s="480">
        <v>34246</v>
      </c>
      <c r="F107" s="573">
        <v>1150883.6199999999</v>
      </c>
      <c r="G107" s="479">
        <v>1168006.6199999999</v>
      </c>
      <c r="H107" s="539">
        <v>154683.86507702887</v>
      </c>
      <c r="I107" s="539">
        <v>154683.86507702887</v>
      </c>
      <c r="J107" s="478">
        <f t="shared" si="26"/>
        <v>0</v>
      </c>
      <c r="K107" s="478"/>
      <c r="L107" s="540">
        <f>H107</f>
        <v>154683.86507702887</v>
      </c>
      <c r="M107" s="575">
        <f t="shared" ref="M107:M108" si="39">IF(L107&lt;&gt;0,+H107-L107,0)</f>
        <v>0</v>
      </c>
      <c r="N107" s="540">
        <f>I107</f>
        <v>154683.86507702887</v>
      </c>
      <c r="O107" s="478">
        <f t="shared" si="30"/>
        <v>0</v>
      </c>
      <c r="P107" s="475">
        <f t="shared" si="31"/>
        <v>0</v>
      </c>
    </row>
    <row r="108" spans="1:16">
      <c r="B108" s="160" t="str">
        <f t="shared" si="32"/>
        <v/>
      </c>
      <c r="C108" s="472">
        <f>IF(D93="","-",+C107+1)</f>
        <v>2020</v>
      </c>
      <c r="D108" s="473">
        <v>1150883.6199999999</v>
      </c>
      <c r="E108" s="480">
        <v>32653</v>
      </c>
      <c r="F108" s="573">
        <v>1118230.6199999999</v>
      </c>
      <c r="G108" s="479">
        <v>1134557.1199999999</v>
      </c>
      <c r="H108" s="539">
        <v>163464.31672839285</v>
      </c>
      <c r="I108" s="539">
        <v>163464.31672839285</v>
      </c>
      <c r="J108" s="478">
        <f t="shared" si="26"/>
        <v>0</v>
      </c>
      <c r="K108" s="478"/>
      <c r="L108" s="540">
        <f>H108</f>
        <v>163464.31672839285</v>
      </c>
      <c r="M108" s="575">
        <f t="shared" si="39"/>
        <v>0</v>
      </c>
      <c r="N108" s="540">
        <f>I108</f>
        <v>163464.31672839285</v>
      </c>
      <c r="O108" s="478">
        <f t="shared" si="30"/>
        <v>0</v>
      </c>
      <c r="P108" s="475">
        <f t="shared" si="31"/>
        <v>0</v>
      </c>
    </row>
    <row r="109" spans="1:16">
      <c r="B109" s="160" t="str">
        <f t="shared" si="32"/>
        <v/>
      </c>
      <c r="C109" s="472">
        <f>IF(D93="","-",+C108+1)</f>
        <v>2021</v>
      </c>
      <c r="D109" s="346">
        <f>IF(F108+SUM(E$99:E108)=D$92,F108,D$92-SUM(E$99:E108))</f>
        <v>1118230.6199999999</v>
      </c>
      <c r="E109" s="486">
        <f>IF(+J96&lt;F108,J96,D109)</f>
        <v>33431</v>
      </c>
      <c r="F109" s="485">
        <f t="shared" ref="F109:F130" si="40">+D109-E109</f>
        <v>1084799.6199999999</v>
      </c>
      <c r="G109" s="485">
        <f t="shared" ref="G109:G130" si="41">+(F109+D109)/2</f>
        <v>1101515.1199999999</v>
      </c>
      <c r="H109" s="488">
        <f t="shared" ref="H109:H130" si="42">+J$94*G109+E109</f>
        <v>152186.71736272448</v>
      </c>
      <c r="I109" s="542">
        <f t="shared" ref="I109:I130" si="43">+J$95*G109+E109</f>
        <v>152186.71736272448</v>
      </c>
      <c r="J109" s="478">
        <f t="shared" si="26"/>
        <v>0</v>
      </c>
      <c r="K109" s="478"/>
      <c r="L109" s="487"/>
      <c r="M109" s="478">
        <f t="shared" si="28"/>
        <v>0</v>
      </c>
      <c r="N109" s="487"/>
      <c r="O109" s="478">
        <f t="shared" si="30"/>
        <v>0</v>
      </c>
      <c r="P109" s="478">
        <f t="shared" si="31"/>
        <v>0</v>
      </c>
    </row>
    <row r="110" spans="1:16">
      <c r="B110" s="160" t="str">
        <f t="shared" si="32"/>
        <v/>
      </c>
      <c r="C110" s="472">
        <f>IF(D93="","-",+C109+1)</f>
        <v>2022</v>
      </c>
      <c r="D110" s="346">
        <f>IF(F109+SUM(E$99:E109)=D$92,F109,D$92-SUM(E$99:E109))</f>
        <v>1084799.6199999999</v>
      </c>
      <c r="E110" s="486">
        <f>IF(+J96&lt;F109,J96,D110)</f>
        <v>33431</v>
      </c>
      <c r="F110" s="485">
        <f t="shared" si="40"/>
        <v>1051368.6199999999</v>
      </c>
      <c r="G110" s="485">
        <f t="shared" si="41"/>
        <v>1068084.1199999999</v>
      </c>
      <c r="H110" s="488">
        <f t="shared" si="42"/>
        <v>148582.47960414225</v>
      </c>
      <c r="I110" s="542">
        <f t="shared" si="43"/>
        <v>148582.47960414225</v>
      </c>
      <c r="J110" s="478">
        <f t="shared" si="26"/>
        <v>0</v>
      </c>
      <c r="K110" s="478"/>
      <c r="L110" s="487"/>
      <c r="M110" s="478">
        <f t="shared" si="28"/>
        <v>0</v>
      </c>
      <c r="N110" s="487"/>
      <c r="O110" s="478">
        <f t="shared" si="30"/>
        <v>0</v>
      </c>
      <c r="P110" s="478">
        <f t="shared" si="31"/>
        <v>0</v>
      </c>
    </row>
    <row r="111" spans="1:16">
      <c r="B111" s="160" t="str">
        <f t="shared" si="32"/>
        <v/>
      </c>
      <c r="C111" s="472">
        <f>IF(D93="","-",+C110+1)</f>
        <v>2023</v>
      </c>
      <c r="D111" s="346">
        <f>IF(F110+SUM(E$99:E110)=D$92,F110,D$92-SUM(E$99:E110))</f>
        <v>1051368.6199999999</v>
      </c>
      <c r="E111" s="486">
        <f>IF(+J96&lt;F110,J96,D111)</f>
        <v>33431</v>
      </c>
      <c r="F111" s="485">
        <f t="shared" si="40"/>
        <v>1017937.6199999999</v>
      </c>
      <c r="G111" s="485">
        <f t="shared" si="41"/>
        <v>1034653.1199999999</v>
      </c>
      <c r="H111" s="488">
        <f t="shared" si="42"/>
        <v>144978.24184556</v>
      </c>
      <c r="I111" s="542">
        <f t="shared" si="43"/>
        <v>144978.24184556</v>
      </c>
      <c r="J111" s="478">
        <f t="shared" si="26"/>
        <v>0</v>
      </c>
      <c r="K111" s="478"/>
      <c r="L111" s="487"/>
      <c r="M111" s="478">
        <f t="shared" si="28"/>
        <v>0</v>
      </c>
      <c r="N111" s="487"/>
      <c r="O111" s="478">
        <f t="shared" si="30"/>
        <v>0</v>
      </c>
      <c r="P111" s="478">
        <f t="shared" si="31"/>
        <v>0</v>
      </c>
    </row>
    <row r="112" spans="1:16">
      <c r="B112" s="160" t="str">
        <f t="shared" si="32"/>
        <v/>
      </c>
      <c r="C112" s="472">
        <f>IF(D93="","-",+C111+1)</f>
        <v>2024</v>
      </c>
      <c r="D112" s="346">
        <f>IF(F111+SUM(E$99:E111)=D$92,F111,D$92-SUM(E$99:E111))</f>
        <v>1017937.6199999999</v>
      </c>
      <c r="E112" s="486">
        <f>IF(+J96&lt;F111,J96,D112)</f>
        <v>33431</v>
      </c>
      <c r="F112" s="485">
        <f t="shared" si="40"/>
        <v>984506.61999999988</v>
      </c>
      <c r="G112" s="485">
        <f t="shared" si="41"/>
        <v>1001222.1199999999</v>
      </c>
      <c r="H112" s="488">
        <f t="shared" si="42"/>
        <v>141374.00408697777</v>
      </c>
      <c r="I112" s="542">
        <f t="shared" si="43"/>
        <v>141374.00408697777</v>
      </c>
      <c r="J112" s="478">
        <f t="shared" si="26"/>
        <v>0</v>
      </c>
      <c r="K112" s="478"/>
      <c r="L112" s="487"/>
      <c r="M112" s="478">
        <f t="shared" si="28"/>
        <v>0</v>
      </c>
      <c r="N112" s="487"/>
      <c r="O112" s="478">
        <f t="shared" si="30"/>
        <v>0</v>
      </c>
      <c r="P112" s="478">
        <f t="shared" si="31"/>
        <v>0</v>
      </c>
    </row>
    <row r="113" spans="2:16">
      <c r="B113" s="160" t="str">
        <f t="shared" si="32"/>
        <v/>
      </c>
      <c r="C113" s="472">
        <f>IF(D93="","-",+C112+1)</f>
        <v>2025</v>
      </c>
      <c r="D113" s="346">
        <f>IF(F112+SUM(E$99:E112)=D$92,F112,D$92-SUM(E$99:E112))</f>
        <v>984506.61999999988</v>
      </c>
      <c r="E113" s="486">
        <f>IF(+J96&lt;F112,J96,D113)</f>
        <v>33431</v>
      </c>
      <c r="F113" s="485">
        <f t="shared" si="40"/>
        <v>951075.61999999988</v>
      </c>
      <c r="G113" s="485">
        <f t="shared" si="41"/>
        <v>967791.11999999988</v>
      </c>
      <c r="H113" s="488">
        <f t="shared" si="42"/>
        <v>137769.76632839552</v>
      </c>
      <c r="I113" s="542">
        <f t="shared" si="43"/>
        <v>137769.76632839552</v>
      </c>
      <c r="J113" s="478">
        <f t="shared" si="26"/>
        <v>0</v>
      </c>
      <c r="K113" s="478"/>
      <c r="L113" s="487"/>
      <c r="M113" s="478">
        <f t="shared" si="28"/>
        <v>0</v>
      </c>
      <c r="N113" s="487"/>
      <c r="O113" s="478">
        <f t="shared" si="30"/>
        <v>0</v>
      </c>
      <c r="P113" s="478">
        <f t="shared" si="31"/>
        <v>0</v>
      </c>
    </row>
    <row r="114" spans="2:16">
      <c r="B114" s="160" t="str">
        <f t="shared" si="32"/>
        <v/>
      </c>
      <c r="C114" s="472">
        <f>IF(D93="","-",+C113+1)</f>
        <v>2026</v>
      </c>
      <c r="D114" s="346">
        <f>IF(F113+SUM(E$99:E113)=D$92,F113,D$92-SUM(E$99:E113))</f>
        <v>951075.61999999988</v>
      </c>
      <c r="E114" s="486">
        <f>IF(+J96&lt;F113,J96,D114)</f>
        <v>33431</v>
      </c>
      <c r="F114" s="485">
        <f t="shared" si="40"/>
        <v>917644.61999999988</v>
      </c>
      <c r="G114" s="485">
        <f t="shared" si="41"/>
        <v>934360.11999999988</v>
      </c>
      <c r="H114" s="488">
        <f t="shared" si="42"/>
        <v>134165.52856981329</v>
      </c>
      <c r="I114" s="542">
        <f t="shared" si="43"/>
        <v>134165.52856981329</v>
      </c>
      <c r="J114" s="478">
        <f t="shared" si="26"/>
        <v>0</v>
      </c>
      <c r="K114" s="478"/>
      <c r="L114" s="487"/>
      <c r="M114" s="478">
        <f t="shared" si="28"/>
        <v>0</v>
      </c>
      <c r="N114" s="487"/>
      <c r="O114" s="478">
        <f t="shared" si="30"/>
        <v>0</v>
      </c>
      <c r="P114" s="478">
        <f t="shared" si="31"/>
        <v>0</v>
      </c>
    </row>
    <row r="115" spans="2:16">
      <c r="B115" s="160" t="str">
        <f t="shared" si="32"/>
        <v/>
      </c>
      <c r="C115" s="472">
        <f>IF(D93="","-",+C114+1)</f>
        <v>2027</v>
      </c>
      <c r="D115" s="346">
        <f>IF(F114+SUM(E$99:E114)=D$92,F114,D$92-SUM(E$99:E114))</f>
        <v>917644.61999999988</v>
      </c>
      <c r="E115" s="486">
        <f>IF(+J96&lt;F114,J96,D115)</f>
        <v>33431</v>
      </c>
      <c r="F115" s="485">
        <f t="shared" si="40"/>
        <v>884213.61999999988</v>
      </c>
      <c r="G115" s="485">
        <f t="shared" si="41"/>
        <v>900929.11999999988</v>
      </c>
      <c r="H115" s="488">
        <f t="shared" si="42"/>
        <v>130561.29081123105</v>
      </c>
      <c r="I115" s="542">
        <f t="shared" si="43"/>
        <v>130561.29081123105</v>
      </c>
      <c r="J115" s="478">
        <f t="shared" si="26"/>
        <v>0</v>
      </c>
      <c r="K115" s="478"/>
      <c r="L115" s="487"/>
      <c r="M115" s="478">
        <f t="shared" si="28"/>
        <v>0</v>
      </c>
      <c r="N115" s="487"/>
      <c r="O115" s="478">
        <f t="shared" si="30"/>
        <v>0</v>
      </c>
      <c r="P115" s="478">
        <f t="shared" si="31"/>
        <v>0</v>
      </c>
    </row>
    <row r="116" spans="2:16">
      <c r="B116" s="160" t="str">
        <f t="shared" si="32"/>
        <v/>
      </c>
      <c r="C116" s="472">
        <f>IF(D93="","-",+C115+1)</f>
        <v>2028</v>
      </c>
      <c r="D116" s="346">
        <f>IF(F115+SUM(E$99:E115)=D$92,F115,D$92-SUM(E$99:E115))</f>
        <v>884213.61999999988</v>
      </c>
      <c r="E116" s="486">
        <f>IF(+J96&lt;F115,J96,D116)</f>
        <v>33431</v>
      </c>
      <c r="F116" s="485">
        <f t="shared" si="40"/>
        <v>850782.61999999988</v>
      </c>
      <c r="G116" s="485">
        <f t="shared" si="41"/>
        <v>867498.11999999988</v>
      </c>
      <c r="H116" s="488">
        <f t="shared" si="42"/>
        <v>126957.05305264883</v>
      </c>
      <c r="I116" s="542">
        <f t="shared" si="43"/>
        <v>126957.05305264883</v>
      </c>
      <c r="J116" s="478">
        <f t="shared" si="26"/>
        <v>0</v>
      </c>
      <c r="K116" s="478"/>
      <c r="L116" s="487"/>
      <c r="M116" s="478">
        <f t="shared" si="28"/>
        <v>0</v>
      </c>
      <c r="N116" s="487"/>
      <c r="O116" s="478">
        <f t="shared" si="30"/>
        <v>0</v>
      </c>
      <c r="P116" s="478">
        <f t="shared" si="31"/>
        <v>0</v>
      </c>
    </row>
    <row r="117" spans="2:16">
      <c r="B117" s="160" t="str">
        <f t="shared" si="32"/>
        <v/>
      </c>
      <c r="C117" s="472">
        <f>IF(D93="","-",+C116+1)</f>
        <v>2029</v>
      </c>
      <c r="D117" s="346">
        <f>IF(F116+SUM(E$99:E116)=D$92,F116,D$92-SUM(E$99:E116))</f>
        <v>850782.61999999988</v>
      </c>
      <c r="E117" s="486">
        <f>IF(+J96&lt;F116,J96,D117)</f>
        <v>33431</v>
      </c>
      <c r="F117" s="485">
        <f t="shared" si="40"/>
        <v>817351.61999999988</v>
      </c>
      <c r="G117" s="485">
        <f t="shared" si="41"/>
        <v>834067.11999999988</v>
      </c>
      <c r="H117" s="488">
        <f t="shared" si="42"/>
        <v>123352.81529406659</v>
      </c>
      <c r="I117" s="542">
        <f t="shared" si="43"/>
        <v>123352.81529406659</v>
      </c>
      <c r="J117" s="478">
        <f t="shared" si="26"/>
        <v>0</v>
      </c>
      <c r="K117" s="478"/>
      <c r="L117" s="487"/>
      <c r="M117" s="478">
        <f t="shared" si="28"/>
        <v>0</v>
      </c>
      <c r="N117" s="487"/>
      <c r="O117" s="478">
        <f t="shared" si="30"/>
        <v>0</v>
      </c>
      <c r="P117" s="478">
        <f t="shared" si="31"/>
        <v>0</v>
      </c>
    </row>
    <row r="118" spans="2:16">
      <c r="B118" s="160" t="str">
        <f t="shared" si="32"/>
        <v/>
      </c>
      <c r="C118" s="472">
        <f>IF(D93="","-",+C117+1)</f>
        <v>2030</v>
      </c>
      <c r="D118" s="346">
        <f>IF(F117+SUM(E$99:E117)=D$92,F117,D$92-SUM(E$99:E117))</f>
        <v>817351.61999999988</v>
      </c>
      <c r="E118" s="486">
        <f>IF(+J96&lt;F117,J96,D118)</f>
        <v>33431</v>
      </c>
      <c r="F118" s="485">
        <f t="shared" si="40"/>
        <v>783920.61999999988</v>
      </c>
      <c r="G118" s="485">
        <f t="shared" si="41"/>
        <v>800636.11999999988</v>
      </c>
      <c r="H118" s="488">
        <f t="shared" si="42"/>
        <v>119748.57753548435</v>
      </c>
      <c r="I118" s="542">
        <f t="shared" si="43"/>
        <v>119748.57753548435</v>
      </c>
      <c r="J118" s="478">
        <f t="shared" si="26"/>
        <v>0</v>
      </c>
      <c r="K118" s="478"/>
      <c r="L118" s="487"/>
      <c r="M118" s="478">
        <f t="shared" si="28"/>
        <v>0</v>
      </c>
      <c r="N118" s="487"/>
      <c r="O118" s="478">
        <f t="shared" si="30"/>
        <v>0</v>
      </c>
      <c r="P118" s="478">
        <f t="shared" si="31"/>
        <v>0</v>
      </c>
    </row>
    <row r="119" spans="2:16">
      <c r="B119" s="160" t="str">
        <f t="shared" si="32"/>
        <v/>
      </c>
      <c r="C119" s="472">
        <f>IF(D93="","-",+C118+1)</f>
        <v>2031</v>
      </c>
      <c r="D119" s="346">
        <f>IF(F118+SUM(E$99:E118)=D$92,F118,D$92-SUM(E$99:E118))</f>
        <v>783920.61999999988</v>
      </c>
      <c r="E119" s="486">
        <f>IF(+J96&lt;F118,J96,D119)</f>
        <v>33431</v>
      </c>
      <c r="F119" s="485">
        <f t="shared" si="40"/>
        <v>750489.61999999988</v>
      </c>
      <c r="G119" s="485">
        <f t="shared" si="41"/>
        <v>767205.11999999988</v>
      </c>
      <c r="H119" s="488">
        <f t="shared" si="42"/>
        <v>116144.33977690211</v>
      </c>
      <c r="I119" s="542">
        <f t="shared" si="43"/>
        <v>116144.33977690211</v>
      </c>
      <c r="J119" s="478">
        <f t="shared" si="26"/>
        <v>0</v>
      </c>
      <c r="K119" s="478"/>
      <c r="L119" s="487"/>
      <c r="M119" s="478">
        <f t="shared" si="28"/>
        <v>0</v>
      </c>
      <c r="N119" s="487"/>
      <c r="O119" s="478">
        <f t="shared" si="30"/>
        <v>0</v>
      </c>
      <c r="P119" s="478">
        <f t="shared" si="31"/>
        <v>0</v>
      </c>
    </row>
    <row r="120" spans="2:16">
      <c r="B120" s="160" t="str">
        <f t="shared" si="32"/>
        <v/>
      </c>
      <c r="C120" s="472">
        <f>IF(D93="","-",+C119+1)</f>
        <v>2032</v>
      </c>
      <c r="D120" s="346">
        <f>IF(F119+SUM(E$99:E119)=D$92,F119,D$92-SUM(E$99:E119))</f>
        <v>750489.61999999988</v>
      </c>
      <c r="E120" s="486">
        <f>IF(+J96&lt;F119,J96,D120)</f>
        <v>33431</v>
      </c>
      <c r="F120" s="485">
        <f t="shared" si="40"/>
        <v>717058.61999999988</v>
      </c>
      <c r="G120" s="485">
        <f t="shared" si="41"/>
        <v>733774.11999999988</v>
      </c>
      <c r="H120" s="488">
        <f t="shared" si="42"/>
        <v>112540.10201831989</v>
      </c>
      <c r="I120" s="542">
        <f t="shared" si="43"/>
        <v>112540.10201831989</v>
      </c>
      <c r="J120" s="478">
        <f t="shared" si="26"/>
        <v>0</v>
      </c>
      <c r="K120" s="478"/>
      <c r="L120" s="487"/>
      <c r="M120" s="478">
        <f t="shared" si="28"/>
        <v>0</v>
      </c>
      <c r="N120" s="487"/>
      <c r="O120" s="478">
        <f t="shared" si="30"/>
        <v>0</v>
      </c>
      <c r="P120" s="478">
        <f t="shared" si="31"/>
        <v>0</v>
      </c>
    </row>
    <row r="121" spans="2:16">
      <c r="B121" s="160" t="str">
        <f t="shared" si="32"/>
        <v/>
      </c>
      <c r="C121" s="472">
        <f>IF(D93="","-",+C120+1)</f>
        <v>2033</v>
      </c>
      <c r="D121" s="346">
        <f>IF(F120+SUM(E$99:E120)=D$92,F120,D$92-SUM(E$99:E120))</f>
        <v>717058.61999999988</v>
      </c>
      <c r="E121" s="486">
        <f>IF(+J96&lt;F120,J96,D121)</f>
        <v>33431</v>
      </c>
      <c r="F121" s="485">
        <f t="shared" si="40"/>
        <v>683627.61999999988</v>
      </c>
      <c r="G121" s="485">
        <f t="shared" si="41"/>
        <v>700343.11999999988</v>
      </c>
      <c r="H121" s="488">
        <f t="shared" si="42"/>
        <v>108935.86425973765</v>
      </c>
      <c r="I121" s="542">
        <f t="shared" si="43"/>
        <v>108935.86425973765</v>
      </c>
      <c r="J121" s="478">
        <f t="shared" si="26"/>
        <v>0</v>
      </c>
      <c r="K121" s="478"/>
      <c r="L121" s="487"/>
      <c r="M121" s="478">
        <f t="shared" si="28"/>
        <v>0</v>
      </c>
      <c r="N121" s="487"/>
      <c r="O121" s="478">
        <f t="shared" si="30"/>
        <v>0</v>
      </c>
      <c r="P121" s="478">
        <f t="shared" si="31"/>
        <v>0</v>
      </c>
    </row>
    <row r="122" spans="2:16">
      <c r="B122" s="160" t="str">
        <f t="shared" si="32"/>
        <v/>
      </c>
      <c r="C122" s="472">
        <f>IF(D93="","-",+C121+1)</f>
        <v>2034</v>
      </c>
      <c r="D122" s="346">
        <f>IF(F121+SUM(E$99:E121)=D$92,F121,D$92-SUM(E$99:E121))</f>
        <v>683627.61999999988</v>
      </c>
      <c r="E122" s="486">
        <f>IF(+J96&lt;F121,J96,D122)</f>
        <v>33431</v>
      </c>
      <c r="F122" s="485">
        <f t="shared" si="40"/>
        <v>650196.61999999988</v>
      </c>
      <c r="G122" s="485">
        <f t="shared" si="41"/>
        <v>666912.11999999988</v>
      </c>
      <c r="H122" s="488">
        <f t="shared" si="42"/>
        <v>105331.62650115541</v>
      </c>
      <c r="I122" s="542">
        <f t="shared" si="43"/>
        <v>105331.62650115541</v>
      </c>
      <c r="J122" s="478">
        <f t="shared" si="26"/>
        <v>0</v>
      </c>
      <c r="K122" s="478"/>
      <c r="L122" s="487"/>
      <c r="M122" s="478">
        <f t="shared" si="28"/>
        <v>0</v>
      </c>
      <c r="N122" s="487"/>
      <c r="O122" s="478">
        <f t="shared" si="30"/>
        <v>0</v>
      </c>
      <c r="P122" s="478">
        <f t="shared" si="31"/>
        <v>0</v>
      </c>
    </row>
    <row r="123" spans="2:16">
      <c r="B123" s="160" t="str">
        <f t="shared" si="32"/>
        <v/>
      </c>
      <c r="C123" s="472">
        <f>IF(D93="","-",+C122+1)</f>
        <v>2035</v>
      </c>
      <c r="D123" s="346">
        <f>IF(F122+SUM(E$99:E122)=D$92,F122,D$92-SUM(E$99:E122))</f>
        <v>650196.61999999988</v>
      </c>
      <c r="E123" s="486">
        <f>IF(+J96&lt;F122,J96,D123)</f>
        <v>33431</v>
      </c>
      <c r="F123" s="485">
        <f t="shared" si="40"/>
        <v>616765.61999999988</v>
      </c>
      <c r="G123" s="485">
        <f t="shared" si="41"/>
        <v>633481.11999999988</v>
      </c>
      <c r="H123" s="488">
        <f t="shared" si="42"/>
        <v>101727.38874257318</v>
      </c>
      <c r="I123" s="542">
        <f t="shared" si="43"/>
        <v>101727.38874257318</v>
      </c>
      <c r="J123" s="478">
        <f t="shared" si="26"/>
        <v>0</v>
      </c>
      <c r="K123" s="478"/>
      <c r="L123" s="487"/>
      <c r="M123" s="478">
        <f t="shared" si="28"/>
        <v>0</v>
      </c>
      <c r="N123" s="487"/>
      <c r="O123" s="478">
        <f t="shared" si="30"/>
        <v>0</v>
      </c>
      <c r="P123" s="478">
        <f t="shared" si="31"/>
        <v>0</v>
      </c>
    </row>
    <row r="124" spans="2:16">
      <c r="B124" s="160" t="str">
        <f t="shared" si="32"/>
        <v/>
      </c>
      <c r="C124" s="472">
        <f>IF(D93="","-",+C123+1)</f>
        <v>2036</v>
      </c>
      <c r="D124" s="346">
        <f>IF(F123+SUM(E$99:E123)=D$92,F123,D$92-SUM(E$99:E123))</f>
        <v>616765.61999999988</v>
      </c>
      <c r="E124" s="486">
        <f>IF(+J96&lt;F123,J96,D124)</f>
        <v>33431</v>
      </c>
      <c r="F124" s="485">
        <f t="shared" si="40"/>
        <v>583334.61999999988</v>
      </c>
      <c r="G124" s="485">
        <f t="shared" si="41"/>
        <v>600050.11999999988</v>
      </c>
      <c r="H124" s="488">
        <f t="shared" si="42"/>
        <v>98123.150983990941</v>
      </c>
      <c r="I124" s="542">
        <f t="shared" si="43"/>
        <v>98123.150983990941</v>
      </c>
      <c r="J124" s="478">
        <f t="shared" si="26"/>
        <v>0</v>
      </c>
      <c r="K124" s="478"/>
      <c r="L124" s="487"/>
      <c r="M124" s="478">
        <f t="shared" si="28"/>
        <v>0</v>
      </c>
      <c r="N124" s="487"/>
      <c r="O124" s="478">
        <f t="shared" si="30"/>
        <v>0</v>
      </c>
      <c r="P124" s="478">
        <f t="shared" si="31"/>
        <v>0</v>
      </c>
    </row>
    <row r="125" spans="2:16">
      <c r="B125" s="160" t="str">
        <f t="shared" si="32"/>
        <v/>
      </c>
      <c r="C125" s="472">
        <f>IF(D93="","-",+C124+1)</f>
        <v>2037</v>
      </c>
      <c r="D125" s="346">
        <f>IF(F124+SUM(E$99:E124)=D$92,F124,D$92-SUM(E$99:E124))</f>
        <v>583334.61999999988</v>
      </c>
      <c r="E125" s="486">
        <f>IF(+J96&lt;F124,J96,D125)</f>
        <v>33431</v>
      </c>
      <c r="F125" s="485">
        <f t="shared" si="40"/>
        <v>549903.61999999988</v>
      </c>
      <c r="G125" s="485">
        <f t="shared" si="41"/>
        <v>566619.11999999988</v>
      </c>
      <c r="H125" s="488">
        <f t="shared" si="42"/>
        <v>94518.913225408702</v>
      </c>
      <c r="I125" s="542">
        <f t="shared" si="43"/>
        <v>94518.913225408702</v>
      </c>
      <c r="J125" s="478">
        <f t="shared" si="26"/>
        <v>0</v>
      </c>
      <c r="K125" s="478"/>
      <c r="L125" s="487"/>
      <c r="M125" s="478">
        <f t="shared" si="28"/>
        <v>0</v>
      </c>
      <c r="N125" s="487"/>
      <c r="O125" s="478">
        <f t="shared" si="30"/>
        <v>0</v>
      </c>
      <c r="P125" s="478">
        <f t="shared" si="31"/>
        <v>0</v>
      </c>
    </row>
    <row r="126" spans="2:16">
      <c r="B126" s="160" t="str">
        <f t="shared" si="32"/>
        <v/>
      </c>
      <c r="C126" s="472">
        <f>IF(D93="","-",+C125+1)</f>
        <v>2038</v>
      </c>
      <c r="D126" s="346">
        <f>IF(F125+SUM(E$99:E125)=D$92,F125,D$92-SUM(E$99:E125))</f>
        <v>549903.61999999988</v>
      </c>
      <c r="E126" s="486">
        <f>IF(+J96&lt;F125,J96,D126)</f>
        <v>33431</v>
      </c>
      <c r="F126" s="485">
        <f t="shared" si="40"/>
        <v>516472.61999999988</v>
      </c>
      <c r="G126" s="485">
        <f t="shared" si="41"/>
        <v>533188.11999999988</v>
      </c>
      <c r="H126" s="488">
        <f t="shared" si="42"/>
        <v>90914.675466826477</v>
      </c>
      <c r="I126" s="542">
        <f t="shared" si="43"/>
        <v>90914.675466826477</v>
      </c>
      <c r="J126" s="478">
        <f t="shared" si="26"/>
        <v>0</v>
      </c>
      <c r="K126" s="478"/>
      <c r="L126" s="487"/>
      <c r="M126" s="478">
        <f t="shared" si="28"/>
        <v>0</v>
      </c>
      <c r="N126" s="487"/>
      <c r="O126" s="478">
        <f t="shared" si="30"/>
        <v>0</v>
      </c>
      <c r="P126" s="478">
        <f t="shared" si="31"/>
        <v>0</v>
      </c>
    </row>
    <row r="127" spans="2:16">
      <c r="B127" s="160" t="str">
        <f t="shared" si="32"/>
        <v/>
      </c>
      <c r="C127" s="472">
        <f>IF(D93="","-",+C126+1)</f>
        <v>2039</v>
      </c>
      <c r="D127" s="346">
        <f>IF(F126+SUM(E$99:E126)=D$92,F126,D$92-SUM(E$99:E126))</f>
        <v>516472.61999999988</v>
      </c>
      <c r="E127" s="486">
        <f>IF(+J96&lt;F126,J96,D127)</f>
        <v>33431</v>
      </c>
      <c r="F127" s="485">
        <f t="shared" si="40"/>
        <v>483041.61999999988</v>
      </c>
      <c r="G127" s="485">
        <f t="shared" si="41"/>
        <v>499757.11999999988</v>
      </c>
      <c r="H127" s="488">
        <f t="shared" si="42"/>
        <v>87310.437708244222</v>
      </c>
      <c r="I127" s="542">
        <f t="shared" si="43"/>
        <v>87310.437708244222</v>
      </c>
      <c r="J127" s="478">
        <f t="shared" si="26"/>
        <v>0</v>
      </c>
      <c r="K127" s="478"/>
      <c r="L127" s="487"/>
      <c r="M127" s="478">
        <f t="shared" si="28"/>
        <v>0</v>
      </c>
      <c r="N127" s="487"/>
      <c r="O127" s="478">
        <f t="shared" si="30"/>
        <v>0</v>
      </c>
      <c r="P127" s="478">
        <f t="shared" si="31"/>
        <v>0</v>
      </c>
    </row>
    <row r="128" spans="2:16">
      <c r="B128" s="160" t="str">
        <f t="shared" si="32"/>
        <v/>
      </c>
      <c r="C128" s="472">
        <f>IF(D93="","-",+C127+1)</f>
        <v>2040</v>
      </c>
      <c r="D128" s="346">
        <f>IF(F127+SUM(E$99:E127)=D$92,F127,D$92-SUM(E$99:E127))</f>
        <v>483041.61999999988</v>
      </c>
      <c r="E128" s="486">
        <f>IF(+J96&lt;F127,J96,D128)</f>
        <v>33431</v>
      </c>
      <c r="F128" s="485">
        <f t="shared" si="40"/>
        <v>449610.61999999988</v>
      </c>
      <c r="G128" s="485">
        <f t="shared" si="41"/>
        <v>466326.11999999988</v>
      </c>
      <c r="H128" s="488">
        <f t="shared" si="42"/>
        <v>83706.199949661997</v>
      </c>
      <c r="I128" s="542">
        <f t="shared" si="43"/>
        <v>83706.199949661997</v>
      </c>
      <c r="J128" s="478">
        <f t="shared" si="26"/>
        <v>0</v>
      </c>
      <c r="K128" s="478"/>
      <c r="L128" s="487"/>
      <c r="M128" s="478">
        <f t="shared" si="28"/>
        <v>0</v>
      </c>
      <c r="N128" s="487"/>
      <c r="O128" s="478">
        <f t="shared" si="30"/>
        <v>0</v>
      </c>
      <c r="P128" s="478">
        <f t="shared" si="31"/>
        <v>0</v>
      </c>
    </row>
    <row r="129" spans="2:16">
      <c r="B129" s="160" t="str">
        <f t="shared" si="32"/>
        <v/>
      </c>
      <c r="C129" s="472">
        <f>IF(D93="","-",+C128+1)</f>
        <v>2041</v>
      </c>
      <c r="D129" s="346">
        <f>IF(F128+SUM(E$99:E128)=D$92,F128,D$92-SUM(E$99:E128))</f>
        <v>449610.61999999988</v>
      </c>
      <c r="E129" s="486">
        <f t="shared" ref="E129:E154" si="44">IF(+J$96&lt;F128,J$96,D129)</f>
        <v>33431</v>
      </c>
      <c r="F129" s="485">
        <f t="shared" si="40"/>
        <v>416179.61999999988</v>
      </c>
      <c r="G129" s="485">
        <f t="shared" si="41"/>
        <v>432895.11999999988</v>
      </c>
      <c r="H129" s="488">
        <f t="shared" si="42"/>
        <v>80101.962191079758</v>
      </c>
      <c r="I129" s="542">
        <f t="shared" si="43"/>
        <v>80101.962191079758</v>
      </c>
      <c r="J129" s="478">
        <f t="shared" si="26"/>
        <v>0</v>
      </c>
      <c r="K129" s="478"/>
      <c r="L129" s="487"/>
      <c r="M129" s="478">
        <f t="shared" si="28"/>
        <v>0</v>
      </c>
      <c r="N129" s="487"/>
      <c r="O129" s="478">
        <f t="shared" si="30"/>
        <v>0</v>
      </c>
      <c r="P129" s="478">
        <f t="shared" si="31"/>
        <v>0</v>
      </c>
    </row>
    <row r="130" spans="2:16">
      <c r="B130" s="160" t="str">
        <f t="shared" si="32"/>
        <v/>
      </c>
      <c r="C130" s="472">
        <f>IF(D93="","-",+C129+1)</f>
        <v>2042</v>
      </c>
      <c r="D130" s="346">
        <f>IF(F129+SUM(E$99:E129)=D$92,F129,D$92-SUM(E$99:E129))</f>
        <v>416179.61999999988</v>
      </c>
      <c r="E130" s="486">
        <f t="shared" si="44"/>
        <v>33431</v>
      </c>
      <c r="F130" s="485">
        <f t="shared" si="40"/>
        <v>382748.61999999988</v>
      </c>
      <c r="G130" s="485">
        <f t="shared" si="41"/>
        <v>399464.11999999988</v>
      </c>
      <c r="H130" s="488">
        <f t="shared" si="42"/>
        <v>76497.724432497518</v>
      </c>
      <c r="I130" s="542">
        <f t="shared" si="43"/>
        <v>76497.724432497518</v>
      </c>
      <c r="J130" s="478">
        <f t="shared" si="26"/>
        <v>0</v>
      </c>
      <c r="K130" s="478"/>
      <c r="L130" s="487"/>
      <c r="M130" s="478">
        <f t="shared" si="28"/>
        <v>0</v>
      </c>
      <c r="N130" s="487"/>
      <c r="O130" s="478">
        <f t="shared" si="30"/>
        <v>0</v>
      </c>
      <c r="P130" s="478">
        <f t="shared" si="31"/>
        <v>0</v>
      </c>
    </row>
    <row r="131" spans="2:16">
      <c r="B131" s="160" t="str">
        <f t="shared" si="32"/>
        <v/>
      </c>
      <c r="C131" s="472">
        <f>IF(D93="","-",+C130+1)</f>
        <v>2043</v>
      </c>
      <c r="D131" s="346">
        <f>IF(F130+SUM(E$99:E130)=D$92,F130,D$92-SUM(E$99:E130))</f>
        <v>382748.61999999988</v>
      </c>
      <c r="E131" s="486">
        <f t="shared" si="44"/>
        <v>33431</v>
      </c>
      <c r="F131" s="485">
        <f t="shared" ref="F131:F154" si="45">+D131-E131</f>
        <v>349317.61999999988</v>
      </c>
      <c r="G131" s="485">
        <f t="shared" ref="G131:G154" si="46">+(F131+D131)/2</f>
        <v>366033.11999999988</v>
      </c>
      <c r="H131" s="488">
        <f t="shared" ref="H131:H154" si="47">+J$94*G131+E131</f>
        <v>72893.486673915293</v>
      </c>
      <c r="I131" s="542">
        <f t="shared" ref="I131:I154" si="48">+J$95*G131+E131</f>
        <v>72893.486673915293</v>
      </c>
      <c r="J131" s="478">
        <f t="shared" ref="J131:J154" si="49">+I541-H541</f>
        <v>0</v>
      </c>
      <c r="K131" s="478"/>
      <c r="L131" s="487"/>
      <c r="M131" s="478">
        <f t="shared" ref="M131:M154" si="50">IF(L541&lt;&gt;0,+H541-L541,0)</f>
        <v>0</v>
      </c>
      <c r="N131" s="487"/>
      <c r="O131" s="478">
        <f t="shared" ref="O131:O154" si="51">IF(N541&lt;&gt;0,+I541-N541,0)</f>
        <v>0</v>
      </c>
      <c r="P131" s="478">
        <f t="shared" ref="P131:P154" si="52">+O541-M541</f>
        <v>0</v>
      </c>
    </row>
    <row r="132" spans="2:16">
      <c r="B132" s="160" t="str">
        <f t="shared" ref="B132:B154" si="53">IF(D132=F131,"","IU")</f>
        <v/>
      </c>
      <c r="C132" s="472">
        <f>IF(D93="","-",+C131+1)</f>
        <v>2044</v>
      </c>
      <c r="D132" s="346">
        <f>IF(F131+SUM(E$99:E131)=D$92,F131,D$92-SUM(E$99:E131))</f>
        <v>349317.61999999988</v>
      </c>
      <c r="E132" s="486">
        <f t="shared" si="44"/>
        <v>33431</v>
      </c>
      <c r="F132" s="485">
        <f t="shared" si="45"/>
        <v>315886.61999999988</v>
      </c>
      <c r="G132" s="485">
        <f t="shared" si="46"/>
        <v>332602.11999999988</v>
      </c>
      <c r="H132" s="488">
        <f t="shared" si="47"/>
        <v>69289.248915333053</v>
      </c>
      <c r="I132" s="542">
        <f t="shared" si="48"/>
        <v>69289.248915333053</v>
      </c>
      <c r="J132" s="478">
        <f t="shared" si="49"/>
        <v>0</v>
      </c>
      <c r="K132" s="478"/>
      <c r="L132" s="487"/>
      <c r="M132" s="478">
        <f t="shared" si="50"/>
        <v>0</v>
      </c>
      <c r="N132" s="487"/>
      <c r="O132" s="478">
        <f t="shared" si="51"/>
        <v>0</v>
      </c>
      <c r="P132" s="478">
        <f t="shared" si="52"/>
        <v>0</v>
      </c>
    </row>
    <row r="133" spans="2:16">
      <c r="B133" s="160" t="str">
        <f t="shared" si="53"/>
        <v/>
      </c>
      <c r="C133" s="472">
        <f>IF(D93="","-",+C132+1)</f>
        <v>2045</v>
      </c>
      <c r="D133" s="346">
        <f>IF(F132+SUM(E$99:E132)=D$92,F132,D$92-SUM(E$99:E132))</f>
        <v>315886.61999999988</v>
      </c>
      <c r="E133" s="486">
        <f t="shared" si="44"/>
        <v>33431</v>
      </c>
      <c r="F133" s="485">
        <f t="shared" si="45"/>
        <v>282455.61999999988</v>
      </c>
      <c r="G133" s="485">
        <f t="shared" si="46"/>
        <v>299171.11999999988</v>
      </c>
      <c r="H133" s="488">
        <f t="shared" si="47"/>
        <v>65685.011156750814</v>
      </c>
      <c r="I133" s="542">
        <f t="shared" si="48"/>
        <v>65685.011156750814</v>
      </c>
      <c r="J133" s="478">
        <f t="shared" si="49"/>
        <v>0</v>
      </c>
      <c r="K133" s="478"/>
      <c r="L133" s="487"/>
      <c r="M133" s="478">
        <f t="shared" si="50"/>
        <v>0</v>
      </c>
      <c r="N133" s="487"/>
      <c r="O133" s="478">
        <f t="shared" si="51"/>
        <v>0</v>
      </c>
      <c r="P133" s="478">
        <f t="shared" si="52"/>
        <v>0</v>
      </c>
    </row>
    <row r="134" spans="2:16">
      <c r="B134" s="160" t="str">
        <f t="shared" si="53"/>
        <v/>
      </c>
      <c r="C134" s="472">
        <f>IF(D93="","-",+C133+1)</f>
        <v>2046</v>
      </c>
      <c r="D134" s="346">
        <f>IF(F133+SUM(E$99:E133)=D$92,F133,D$92-SUM(E$99:E133))</f>
        <v>282455.61999999988</v>
      </c>
      <c r="E134" s="486">
        <f t="shared" si="44"/>
        <v>33431</v>
      </c>
      <c r="F134" s="485">
        <f t="shared" si="45"/>
        <v>249024.61999999988</v>
      </c>
      <c r="G134" s="485">
        <f t="shared" si="46"/>
        <v>265740.11999999988</v>
      </c>
      <c r="H134" s="488">
        <f t="shared" si="47"/>
        <v>62080.773398168581</v>
      </c>
      <c r="I134" s="542">
        <f t="shared" si="48"/>
        <v>62080.773398168581</v>
      </c>
      <c r="J134" s="478">
        <f t="shared" si="49"/>
        <v>0</v>
      </c>
      <c r="K134" s="478"/>
      <c r="L134" s="487"/>
      <c r="M134" s="478">
        <f t="shared" si="50"/>
        <v>0</v>
      </c>
      <c r="N134" s="487"/>
      <c r="O134" s="478">
        <f t="shared" si="51"/>
        <v>0</v>
      </c>
      <c r="P134" s="478">
        <f t="shared" si="52"/>
        <v>0</v>
      </c>
    </row>
    <row r="135" spans="2:16">
      <c r="B135" s="160" t="str">
        <f t="shared" si="53"/>
        <v/>
      </c>
      <c r="C135" s="472">
        <f>IF(D93="","-",+C134+1)</f>
        <v>2047</v>
      </c>
      <c r="D135" s="346">
        <f>IF(F134+SUM(E$99:E134)=D$92,F134,D$92-SUM(E$99:E134))</f>
        <v>249024.61999999988</v>
      </c>
      <c r="E135" s="486">
        <f t="shared" si="44"/>
        <v>33431</v>
      </c>
      <c r="F135" s="485">
        <f t="shared" si="45"/>
        <v>215593.61999999988</v>
      </c>
      <c r="G135" s="485">
        <f t="shared" si="46"/>
        <v>232309.11999999988</v>
      </c>
      <c r="H135" s="488">
        <f t="shared" si="47"/>
        <v>58476.535639586349</v>
      </c>
      <c r="I135" s="542">
        <f t="shared" si="48"/>
        <v>58476.535639586349</v>
      </c>
      <c r="J135" s="478">
        <f t="shared" si="49"/>
        <v>0</v>
      </c>
      <c r="K135" s="478"/>
      <c r="L135" s="487"/>
      <c r="M135" s="478">
        <f t="shared" si="50"/>
        <v>0</v>
      </c>
      <c r="N135" s="487"/>
      <c r="O135" s="478">
        <f t="shared" si="51"/>
        <v>0</v>
      </c>
      <c r="P135" s="478">
        <f t="shared" si="52"/>
        <v>0</v>
      </c>
    </row>
    <row r="136" spans="2:16">
      <c r="B136" s="160" t="str">
        <f t="shared" si="53"/>
        <v/>
      </c>
      <c r="C136" s="472">
        <f>IF(D93="","-",+C135+1)</f>
        <v>2048</v>
      </c>
      <c r="D136" s="346">
        <f>IF(F135+SUM(E$99:E135)=D$92,F135,D$92-SUM(E$99:E135))</f>
        <v>215593.61999999988</v>
      </c>
      <c r="E136" s="486">
        <f t="shared" si="44"/>
        <v>33431</v>
      </c>
      <c r="F136" s="485">
        <f t="shared" si="45"/>
        <v>182162.61999999988</v>
      </c>
      <c r="G136" s="485">
        <f t="shared" si="46"/>
        <v>198878.11999999988</v>
      </c>
      <c r="H136" s="488">
        <f t="shared" si="47"/>
        <v>54872.29788100411</v>
      </c>
      <c r="I136" s="542">
        <f t="shared" si="48"/>
        <v>54872.29788100411</v>
      </c>
      <c r="J136" s="478">
        <f t="shared" si="49"/>
        <v>0</v>
      </c>
      <c r="K136" s="478"/>
      <c r="L136" s="487"/>
      <c r="M136" s="478">
        <f t="shared" si="50"/>
        <v>0</v>
      </c>
      <c r="N136" s="487"/>
      <c r="O136" s="478">
        <f t="shared" si="51"/>
        <v>0</v>
      </c>
      <c r="P136" s="478">
        <f t="shared" si="52"/>
        <v>0</v>
      </c>
    </row>
    <row r="137" spans="2:16">
      <c r="B137" s="160" t="str">
        <f t="shared" si="53"/>
        <v/>
      </c>
      <c r="C137" s="472">
        <f>IF(D93="","-",+C136+1)</f>
        <v>2049</v>
      </c>
      <c r="D137" s="346">
        <f>IF(F136+SUM(E$99:E136)=D$92,F136,D$92-SUM(E$99:E136))</f>
        <v>182162.61999999988</v>
      </c>
      <c r="E137" s="486">
        <f t="shared" si="44"/>
        <v>33431</v>
      </c>
      <c r="F137" s="485">
        <f t="shared" si="45"/>
        <v>148731.61999999988</v>
      </c>
      <c r="G137" s="485">
        <f t="shared" si="46"/>
        <v>165447.11999999988</v>
      </c>
      <c r="H137" s="488">
        <f t="shared" si="47"/>
        <v>51268.060122421877</v>
      </c>
      <c r="I137" s="542">
        <f t="shared" si="48"/>
        <v>51268.060122421877</v>
      </c>
      <c r="J137" s="478">
        <f t="shared" si="49"/>
        <v>0</v>
      </c>
      <c r="K137" s="478"/>
      <c r="L137" s="487"/>
      <c r="M137" s="478">
        <f t="shared" si="50"/>
        <v>0</v>
      </c>
      <c r="N137" s="487"/>
      <c r="O137" s="478">
        <f t="shared" si="51"/>
        <v>0</v>
      </c>
      <c r="P137" s="478">
        <f t="shared" si="52"/>
        <v>0</v>
      </c>
    </row>
    <row r="138" spans="2:16">
      <c r="B138" s="160" t="str">
        <f t="shared" si="53"/>
        <v/>
      </c>
      <c r="C138" s="472">
        <f>IF(D93="","-",+C137+1)</f>
        <v>2050</v>
      </c>
      <c r="D138" s="346">
        <f>IF(F137+SUM(E$99:E137)=D$92,F137,D$92-SUM(E$99:E137))</f>
        <v>148731.61999999988</v>
      </c>
      <c r="E138" s="486">
        <f t="shared" si="44"/>
        <v>33431</v>
      </c>
      <c r="F138" s="485">
        <f t="shared" si="45"/>
        <v>115300.61999999988</v>
      </c>
      <c r="G138" s="485">
        <f t="shared" si="46"/>
        <v>132016.11999999988</v>
      </c>
      <c r="H138" s="488">
        <f t="shared" si="47"/>
        <v>47663.822363839638</v>
      </c>
      <c r="I138" s="542">
        <f t="shared" si="48"/>
        <v>47663.822363839638</v>
      </c>
      <c r="J138" s="478">
        <f t="shared" si="49"/>
        <v>0</v>
      </c>
      <c r="K138" s="478"/>
      <c r="L138" s="487"/>
      <c r="M138" s="478">
        <f t="shared" si="50"/>
        <v>0</v>
      </c>
      <c r="N138" s="487"/>
      <c r="O138" s="478">
        <f t="shared" si="51"/>
        <v>0</v>
      </c>
      <c r="P138" s="478">
        <f t="shared" si="52"/>
        <v>0</v>
      </c>
    </row>
    <row r="139" spans="2:16">
      <c r="B139" s="160" t="str">
        <f t="shared" si="53"/>
        <v/>
      </c>
      <c r="C139" s="472">
        <f>IF(D93="","-",+C138+1)</f>
        <v>2051</v>
      </c>
      <c r="D139" s="346">
        <f>IF(F138+SUM(E$99:E138)=D$92,F138,D$92-SUM(E$99:E138))</f>
        <v>115300.61999999988</v>
      </c>
      <c r="E139" s="486">
        <f t="shared" si="44"/>
        <v>33431</v>
      </c>
      <c r="F139" s="485">
        <f t="shared" si="45"/>
        <v>81869.619999999879</v>
      </c>
      <c r="G139" s="485">
        <f t="shared" si="46"/>
        <v>98585.119999999879</v>
      </c>
      <c r="H139" s="488">
        <f t="shared" si="47"/>
        <v>44059.584605257405</v>
      </c>
      <c r="I139" s="542">
        <f t="shared" si="48"/>
        <v>44059.584605257405</v>
      </c>
      <c r="J139" s="478">
        <f t="shared" si="49"/>
        <v>0</v>
      </c>
      <c r="K139" s="478"/>
      <c r="L139" s="487"/>
      <c r="M139" s="478">
        <f t="shared" si="50"/>
        <v>0</v>
      </c>
      <c r="N139" s="487"/>
      <c r="O139" s="478">
        <f t="shared" si="51"/>
        <v>0</v>
      </c>
      <c r="P139" s="478">
        <f t="shared" si="52"/>
        <v>0</v>
      </c>
    </row>
    <row r="140" spans="2:16">
      <c r="B140" s="160" t="str">
        <f t="shared" si="53"/>
        <v/>
      </c>
      <c r="C140" s="472">
        <f>IF(D93="","-",+C139+1)</f>
        <v>2052</v>
      </c>
      <c r="D140" s="346">
        <f>IF(F139+SUM(E$99:E139)=D$92,F139,D$92-SUM(E$99:E139))</f>
        <v>81869.619999999879</v>
      </c>
      <c r="E140" s="486">
        <f t="shared" si="44"/>
        <v>33431</v>
      </c>
      <c r="F140" s="485">
        <f t="shared" si="45"/>
        <v>48438.619999999879</v>
      </c>
      <c r="G140" s="485">
        <f t="shared" si="46"/>
        <v>65154.119999999879</v>
      </c>
      <c r="H140" s="488">
        <f t="shared" si="47"/>
        <v>40455.346846675166</v>
      </c>
      <c r="I140" s="542">
        <f t="shared" si="48"/>
        <v>40455.346846675166</v>
      </c>
      <c r="J140" s="478">
        <f t="shared" si="49"/>
        <v>0</v>
      </c>
      <c r="K140" s="478"/>
      <c r="L140" s="487"/>
      <c r="M140" s="478">
        <f t="shared" si="50"/>
        <v>0</v>
      </c>
      <c r="N140" s="487"/>
      <c r="O140" s="478">
        <f t="shared" si="51"/>
        <v>0</v>
      </c>
      <c r="P140" s="478">
        <f t="shared" si="52"/>
        <v>0</v>
      </c>
    </row>
    <row r="141" spans="2:16">
      <c r="B141" s="160" t="str">
        <f t="shared" si="53"/>
        <v/>
      </c>
      <c r="C141" s="472">
        <f>IF(D93="","-",+C140+1)</f>
        <v>2053</v>
      </c>
      <c r="D141" s="346">
        <f>IF(F140+SUM(E$99:E140)=D$92,F140,D$92-SUM(E$99:E140))</f>
        <v>48438.619999999879</v>
      </c>
      <c r="E141" s="486">
        <f t="shared" si="44"/>
        <v>33431</v>
      </c>
      <c r="F141" s="485">
        <f t="shared" si="45"/>
        <v>15007.619999999879</v>
      </c>
      <c r="G141" s="485">
        <f t="shared" si="46"/>
        <v>31723.119999999879</v>
      </c>
      <c r="H141" s="488">
        <f t="shared" si="47"/>
        <v>36851.109088092933</v>
      </c>
      <c r="I141" s="542">
        <f t="shared" si="48"/>
        <v>36851.109088092933</v>
      </c>
      <c r="J141" s="478">
        <f t="shared" si="49"/>
        <v>0</v>
      </c>
      <c r="K141" s="478"/>
      <c r="L141" s="487"/>
      <c r="M141" s="478">
        <f t="shared" si="50"/>
        <v>0</v>
      </c>
      <c r="N141" s="487"/>
      <c r="O141" s="478">
        <f t="shared" si="51"/>
        <v>0</v>
      </c>
      <c r="P141" s="478">
        <f t="shared" si="52"/>
        <v>0</v>
      </c>
    </row>
    <row r="142" spans="2:16">
      <c r="B142" s="160" t="str">
        <f t="shared" si="53"/>
        <v/>
      </c>
      <c r="C142" s="472">
        <f>IF(D93="","-",+C141+1)</f>
        <v>2054</v>
      </c>
      <c r="D142" s="346">
        <f>IF(F141+SUM(E$99:E141)=D$92,F141,D$92-SUM(E$99:E141))</f>
        <v>15007.619999999879</v>
      </c>
      <c r="E142" s="486">
        <f t="shared" si="44"/>
        <v>15007.619999999879</v>
      </c>
      <c r="F142" s="485">
        <f t="shared" si="45"/>
        <v>0</v>
      </c>
      <c r="G142" s="485">
        <f t="shared" si="46"/>
        <v>7503.8099999999395</v>
      </c>
      <c r="H142" s="488">
        <f t="shared" si="47"/>
        <v>15816.615104400787</v>
      </c>
      <c r="I142" s="542">
        <f t="shared" si="48"/>
        <v>15816.615104400787</v>
      </c>
      <c r="J142" s="478">
        <f t="shared" si="49"/>
        <v>0</v>
      </c>
      <c r="K142" s="478"/>
      <c r="L142" s="487"/>
      <c r="M142" s="478">
        <f t="shared" si="50"/>
        <v>0</v>
      </c>
      <c r="N142" s="487"/>
      <c r="O142" s="478">
        <f t="shared" si="51"/>
        <v>0</v>
      </c>
      <c r="P142" s="478">
        <f t="shared" si="52"/>
        <v>0</v>
      </c>
    </row>
    <row r="143" spans="2:16">
      <c r="B143" s="160" t="str">
        <f t="shared" si="53"/>
        <v/>
      </c>
      <c r="C143" s="472">
        <f>IF(D93="","-",+C142+1)</f>
        <v>2055</v>
      </c>
      <c r="D143" s="346">
        <f>IF(F142+SUM(E$99:E142)=D$92,F142,D$92-SUM(E$99:E142))</f>
        <v>0</v>
      </c>
      <c r="E143" s="486">
        <f t="shared" si="44"/>
        <v>0</v>
      </c>
      <c r="F143" s="485">
        <f t="shared" si="45"/>
        <v>0</v>
      </c>
      <c r="G143" s="485">
        <f t="shared" si="46"/>
        <v>0</v>
      </c>
      <c r="H143" s="488">
        <f t="shared" si="47"/>
        <v>0</v>
      </c>
      <c r="I143" s="542">
        <f t="shared" si="48"/>
        <v>0</v>
      </c>
      <c r="J143" s="478">
        <f t="shared" si="49"/>
        <v>0</v>
      </c>
      <c r="K143" s="478"/>
      <c r="L143" s="487"/>
      <c r="M143" s="478">
        <f t="shared" si="50"/>
        <v>0</v>
      </c>
      <c r="N143" s="487"/>
      <c r="O143" s="478">
        <f t="shared" si="51"/>
        <v>0</v>
      </c>
      <c r="P143" s="478">
        <f t="shared" si="52"/>
        <v>0</v>
      </c>
    </row>
    <row r="144" spans="2:16">
      <c r="B144" s="160" t="str">
        <f t="shared" si="53"/>
        <v/>
      </c>
      <c r="C144" s="472">
        <f>IF(D93="","-",+C143+1)</f>
        <v>2056</v>
      </c>
      <c r="D144" s="346">
        <f>IF(F143+SUM(E$99:E143)=D$92,F143,D$92-SUM(E$99:E143))</f>
        <v>0</v>
      </c>
      <c r="E144" s="486">
        <f t="shared" si="44"/>
        <v>0</v>
      </c>
      <c r="F144" s="485">
        <f t="shared" si="45"/>
        <v>0</v>
      </c>
      <c r="G144" s="485">
        <f t="shared" si="46"/>
        <v>0</v>
      </c>
      <c r="H144" s="488">
        <f t="shared" si="47"/>
        <v>0</v>
      </c>
      <c r="I144" s="542">
        <f t="shared" si="48"/>
        <v>0</v>
      </c>
      <c r="J144" s="478">
        <f t="shared" si="49"/>
        <v>0</v>
      </c>
      <c r="K144" s="478"/>
      <c r="L144" s="487"/>
      <c r="M144" s="478">
        <f t="shared" si="50"/>
        <v>0</v>
      </c>
      <c r="N144" s="487"/>
      <c r="O144" s="478">
        <f t="shared" si="51"/>
        <v>0</v>
      </c>
      <c r="P144" s="478">
        <f t="shared" si="52"/>
        <v>0</v>
      </c>
    </row>
    <row r="145" spans="2:16">
      <c r="B145" s="160" t="str">
        <f t="shared" si="53"/>
        <v/>
      </c>
      <c r="C145" s="472">
        <f>IF(D93="","-",+C144+1)</f>
        <v>2057</v>
      </c>
      <c r="D145" s="346">
        <f>IF(F144+SUM(E$99:E144)=D$92,F144,D$92-SUM(E$99:E144))</f>
        <v>0</v>
      </c>
      <c r="E145" s="486">
        <f t="shared" si="44"/>
        <v>0</v>
      </c>
      <c r="F145" s="485">
        <f t="shared" si="45"/>
        <v>0</v>
      </c>
      <c r="G145" s="485">
        <f t="shared" si="46"/>
        <v>0</v>
      </c>
      <c r="H145" s="488">
        <f t="shared" si="47"/>
        <v>0</v>
      </c>
      <c r="I145" s="542">
        <f t="shared" si="48"/>
        <v>0</v>
      </c>
      <c r="J145" s="478">
        <f t="shared" si="49"/>
        <v>0</v>
      </c>
      <c r="K145" s="478"/>
      <c r="L145" s="487"/>
      <c r="M145" s="478">
        <f t="shared" si="50"/>
        <v>0</v>
      </c>
      <c r="N145" s="487"/>
      <c r="O145" s="478">
        <f t="shared" si="51"/>
        <v>0</v>
      </c>
      <c r="P145" s="478">
        <f t="shared" si="52"/>
        <v>0</v>
      </c>
    </row>
    <row r="146" spans="2:16">
      <c r="B146" s="160" t="str">
        <f t="shared" si="53"/>
        <v/>
      </c>
      <c r="C146" s="472">
        <f>IF(D93="","-",+C145+1)</f>
        <v>2058</v>
      </c>
      <c r="D146" s="346">
        <f>IF(F145+SUM(E$99:E145)=D$92,F145,D$92-SUM(E$99:E145))</f>
        <v>0</v>
      </c>
      <c r="E146" s="486">
        <f t="shared" si="44"/>
        <v>0</v>
      </c>
      <c r="F146" s="485">
        <f t="shared" si="45"/>
        <v>0</v>
      </c>
      <c r="G146" s="485">
        <f t="shared" si="46"/>
        <v>0</v>
      </c>
      <c r="H146" s="488">
        <f t="shared" si="47"/>
        <v>0</v>
      </c>
      <c r="I146" s="542">
        <f t="shared" si="48"/>
        <v>0</v>
      </c>
      <c r="J146" s="478">
        <f t="shared" si="49"/>
        <v>0</v>
      </c>
      <c r="K146" s="478"/>
      <c r="L146" s="487"/>
      <c r="M146" s="478">
        <f t="shared" si="50"/>
        <v>0</v>
      </c>
      <c r="N146" s="487"/>
      <c r="O146" s="478">
        <f t="shared" si="51"/>
        <v>0</v>
      </c>
      <c r="P146" s="478">
        <f t="shared" si="52"/>
        <v>0</v>
      </c>
    </row>
    <row r="147" spans="2:16">
      <c r="B147" s="160" t="str">
        <f t="shared" si="53"/>
        <v/>
      </c>
      <c r="C147" s="472">
        <f>IF(D93="","-",+C146+1)</f>
        <v>2059</v>
      </c>
      <c r="D147" s="346">
        <f>IF(F146+SUM(E$99:E146)=D$92,F146,D$92-SUM(E$99:E146))</f>
        <v>0</v>
      </c>
      <c r="E147" s="486">
        <f t="shared" si="44"/>
        <v>0</v>
      </c>
      <c r="F147" s="485">
        <f t="shared" si="45"/>
        <v>0</v>
      </c>
      <c r="G147" s="485">
        <f t="shared" si="46"/>
        <v>0</v>
      </c>
      <c r="H147" s="488">
        <f t="shared" si="47"/>
        <v>0</v>
      </c>
      <c r="I147" s="542">
        <f t="shared" si="48"/>
        <v>0</v>
      </c>
      <c r="J147" s="478">
        <f t="shared" si="49"/>
        <v>0</v>
      </c>
      <c r="K147" s="478"/>
      <c r="L147" s="487"/>
      <c r="M147" s="478">
        <f t="shared" si="50"/>
        <v>0</v>
      </c>
      <c r="N147" s="487"/>
      <c r="O147" s="478">
        <f t="shared" si="51"/>
        <v>0</v>
      </c>
      <c r="P147" s="478">
        <f t="shared" si="52"/>
        <v>0</v>
      </c>
    </row>
    <row r="148" spans="2:16">
      <c r="B148" s="160" t="str">
        <f t="shared" si="53"/>
        <v/>
      </c>
      <c r="C148" s="472">
        <f>IF(D93="","-",+C147+1)</f>
        <v>2060</v>
      </c>
      <c r="D148" s="346">
        <f>IF(F147+SUM(E$99:E147)=D$92,F147,D$92-SUM(E$99:E147))</f>
        <v>0</v>
      </c>
      <c r="E148" s="486">
        <f t="shared" si="44"/>
        <v>0</v>
      </c>
      <c r="F148" s="485">
        <f t="shared" si="45"/>
        <v>0</v>
      </c>
      <c r="G148" s="485">
        <f t="shared" si="46"/>
        <v>0</v>
      </c>
      <c r="H148" s="488">
        <f t="shared" si="47"/>
        <v>0</v>
      </c>
      <c r="I148" s="542">
        <f t="shared" si="48"/>
        <v>0</v>
      </c>
      <c r="J148" s="478">
        <f t="shared" si="49"/>
        <v>0</v>
      </c>
      <c r="K148" s="478"/>
      <c r="L148" s="487"/>
      <c r="M148" s="478">
        <f t="shared" si="50"/>
        <v>0</v>
      </c>
      <c r="N148" s="487"/>
      <c r="O148" s="478">
        <f t="shared" si="51"/>
        <v>0</v>
      </c>
      <c r="P148" s="478">
        <f t="shared" si="52"/>
        <v>0</v>
      </c>
    </row>
    <row r="149" spans="2:16">
      <c r="B149" s="160" t="str">
        <f t="shared" si="53"/>
        <v/>
      </c>
      <c r="C149" s="472">
        <f>IF(D93="","-",+C148+1)</f>
        <v>2061</v>
      </c>
      <c r="D149" s="346">
        <f>IF(F148+SUM(E$99:E148)=D$92,F148,D$92-SUM(E$99:E148))</f>
        <v>0</v>
      </c>
      <c r="E149" s="486">
        <f t="shared" si="44"/>
        <v>0</v>
      </c>
      <c r="F149" s="485">
        <f t="shared" si="45"/>
        <v>0</v>
      </c>
      <c r="G149" s="485">
        <f t="shared" si="46"/>
        <v>0</v>
      </c>
      <c r="H149" s="488">
        <f t="shared" si="47"/>
        <v>0</v>
      </c>
      <c r="I149" s="542">
        <f t="shared" si="48"/>
        <v>0</v>
      </c>
      <c r="J149" s="478">
        <f t="shared" si="49"/>
        <v>0</v>
      </c>
      <c r="K149" s="478"/>
      <c r="L149" s="487"/>
      <c r="M149" s="478">
        <f t="shared" si="50"/>
        <v>0</v>
      </c>
      <c r="N149" s="487"/>
      <c r="O149" s="478">
        <f t="shared" si="51"/>
        <v>0</v>
      </c>
      <c r="P149" s="478">
        <f t="shared" si="52"/>
        <v>0</v>
      </c>
    </row>
    <row r="150" spans="2:16">
      <c r="B150" s="160" t="str">
        <f t="shared" si="53"/>
        <v/>
      </c>
      <c r="C150" s="472">
        <f>IF(D93="","-",+C149+1)</f>
        <v>2062</v>
      </c>
      <c r="D150" s="346">
        <f>IF(F149+SUM(E$99:E149)=D$92,F149,D$92-SUM(E$99:E149))</f>
        <v>0</v>
      </c>
      <c r="E150" s="486">
        <f t="shared" si="44"/>
        <v>0</v>
      </c>
      <c r="F150" s="485">
        <f t="shared" si="45"/>
        <v>0</v>
      </c>
      <c r="G150" s="485">
        <f t="shared" si="46"/>
        <v>0</v>
      </c>
      <c r="H150" s="488">
        <f t="shared" si="47"/>
        <v>0</v>
      </c>
      <c r="I150" s="542">
        <f t="shared" si="48"/>
        <v>0</v>
      </c>
      <c r="J150" s="478">
        <f t="shared" si="49"/>
        <v>0</v>
      </c>
      <c r="K150" s="478"/>
      <c r="L150" s="487"/>
      <c r="M150" s="478">
        <f t="shared" si="50"/>
        <v>0</v>
      </c>
      <c r="N150" s="487"/>
      <c r="O150" s="478">
        <f t="shared" si="51"/>
        <v>0</v>
      </c>
      <c r="P150" s="478">
        <f t="shared" si="52"/>
        <v>0</v>
      </c>
    </row>
    <row r="151" spans="2:16">
      <c r="B151" s="160" t="str">
        <f t="shared" si="53"/>
        <v/>
      </c>
      <c r="C151" s="472">
        <f>IF(D93="","-",+C150+1)</f>
        <v>2063</v>
      </c>
      <c r="D151" s="346">
        <f>IF(F150+SUM(E$99:E150)=D$92,F150,D$92-SUM(E$99:E150))</f>
        <v>0</v>
      </c>
      <c r="E151" s="486">
        <f t="shared" si="44"/>
        <v>0</v>
      </c>
      <c r="F151" s="485">
        <f t="shared" si="45"/>
        <v>0</v>
      </c>
      <c r="G151" s="485">
        <f t="shared" si="46"/>
        <v>0</v>
      </c>
      <c r="H151" s="488">
        <f t="shared" si="47"/>
        <v>0</v>
      </c>
      <c r="I151" s="542">
        <f t="shared" si="48"/>
        <v>0</v>
      </c>
      <c r="J151" s="478">
        <f t="shared" si="49"/>
        <v>0</v>
      </c>
      <c r="K151" s="478"/>
      <c r="L151" s="487"/>
      <c r="M151" s="478">
        <f t="shared" si="50"/>
        <v>0</v>
      </c>
      <c r="N151" s="487"/>
      <c r="O151" s="478">
        <f t="shared" si="51"/>
        <v>0</v>
      </c>
      <c r="P151" s="478">
        <f t="shared" si="52"/>
        <v>0</v>
      </c>
    </row>
    <row r="152" spans="2:16">
      <c r="B152" s="160" t="str">
        <f t="shared" si="53"/>
        <v/>
      </c>
      <c r="C152" s="472">
        <f>IF(D93="","-",+C151+1)</f>
        <v>2064</v>
      </c>
      <c r="D152" s="346">
        <f>IF(F151+SUM(E$99:E151)=D$92,F151,D$92-SUM(E$99:E151))</f>
        <v>0</v>
      </c>
      <c r="E152" s="486">
        <f t="shared" si="44"/>
        <v>0</v>
      </c>
      <c r="F152" s="485">
        <f t="shared" si="45"/>
        <v>0</v>
      </c>
      <c r="G152" s="485">
        <f t="shared" si="46"/>
        <v>0</v>
      </c>
      <c r="H152" s="488">
        <f t="shared" si="47"/>
        <v>0</v>
      </c>
      <c r="I152" s="542">
        <f t="shared" si="48"/>
        <v>0</v>
      </c>
      <c r="J152" s="478">
        <f t="shared" si="49"/>
        <v>0</v>
      </c>
      <c r="K152" s="478"/>
      <c r="L152" s="487"/>
      <c r="M152" s="478">
        <f t="shared" si="50"/>
        <v>0</v>
      </c>
      <c r="N152" s="487"/>
      <c r="O152" s="478">
        <f t="shared" si="51"/>
        <v>0</v>
      </c>
      <c r="P152" s="478">
        <f t="shared" si="52"/>
        <v>0</v>
      </c>
    </row>
    <row r="153" spans="2:16">
      <c r="B153" s="160" t="str">
        <f t="shared" si="53"/>
        <v/>
      </c>
      <c r="C153" s="472">
        <f>IF(D93="","-",+C152+1)</f>
        <v>2065</v>
      </c>
      <c r="D153" s="346">
        <f>IF(F152+SUM(E$99:E152)=D$92,F152,D$92-SUM(E$99:E152))</f>
        <v>0</v>
      </c>
      <c r="E153" s="486">
        <f t="shared" si="44"/>
        <v>0</v>
      </c>
      <c r="F153" s="485">
        <f t="shared" si="45"/>
        <v>0</v>
      </c>
      <c r="G153" s="485">
        <f t="shared" si="46"/>
        <v>0</v>
      </c>
      <c r="H153" s="488">
        <f t="shared" si="47"/>
        <v>0</v>
      </c>
      <c r="I153" s="542">
        <f t="shared" si="48"/>
        <v>0</v>
      </c>
      <c r="J153" s="478">
        <f t="shared" si="49"/>
        <v>0</v>
      </c>
      <c r="K153" s="478"/>
      <c r="L153" s="487"/>
      <c r="M153" s="478">
        <f t="shared" si="50"/>
        <v>0</v>
      </c>
      <c r="N153" s="487"/>
      <c r="O153" s="478">
        <f t="shared" si="51"/>
        <v>0</v>
      </c>
      <c r="P153" s="478">
        <f t="shared" si="52"/>
        <v>0</v>
      </c>
    </row>
    <row r="154" spans="2:16" ht="13.5" thickBot="1">
      <c r="B154" s="160" t="str">
        <f t="shared" si="53"/>
        <v/>
      </c>
      <c r="C154" s="489">
        <f>IF(D93="","-",+C153+1)</f>
        <v>2066</v>
      </c>
      <c r="D154" s="576">
        <f>IF(F153+SUM(E$99:E153)=D$92,F153,D$92-SUM(E$99:E153))</f>
        <v>0</v>
      </c>
      <c r="E154" s="544">
        <f t="shared" si="44"/>
        <v>0</v>
      </c>
      <c r="F154" s="490">
        <f t="shared" si="45"/>
        <v>0</v>
      </c>
      <c r="G154" s="490">
        <f t="shared" si="46"/>
        <v>0</v>
      </c>
      <c r="H154" s="492">
        <f t="shared" si="47"/>
        <v>0</v>
      </c>
      <c r="I154" s="545">
        <f t="shared" si="48"/>
        <v>0</v>
      </c>
      <c r="J154" s="495">
        <f t="shared" si="49"/>
        <v>0</v>
      </c>
      <c r="K154" s="478"/>
      <c r="L154" s="494"/>
      <c r="M154" s="495">
        <f t="shared" si="50"/>
        <v>0</v>
      </c>
      <c r="N154" s="494"/>
      <c r="O154" s="495">
        <f t="shared" si="51"/>
        <v>0</v>
      </c>
      <c r="P154" s="495">
        <f t="shared" si="52"/>
        <v>0</v>
      </c>
    </row>
    <row r="155" spans="2:16">
      <c r="C155" s="346" t="s">
        <v>77</v>
      </c>
      <c r="D155" s="347"/>
      <c r="E155" s="347">
        <f>SUM(E99:E154)</f>
        <v>1404099.6199999999</v>
      </c>
      <c r="F155" s="347"/>
      <c r="G155" s="347"/>
      <c r="H155" s="347">
        <f>SUM(H99:H154)</f>
        <v>4993735.0171708548</v>
      </c>
      <c r="I155" s="347">
        <f>SUM(I99:I154)</f>
        <v>4993735.0171708548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6" priority="1" stopIfTrue="1" operator="equal">
      <formula>$I$10</formula>
    </cfRule>
  </conditionalFormatting>
  <conditionalFormatting sqref="C99:C154">
    <cfRule type="cellIs" dxfId="4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P162"/>
  <sheetViews>
    <sheetView view="pageBreakPreview" topLeftCell="A7" zoomScale="75" zoomScaleNormal="100" workbookViewId="0">
      <selection activeCell="D23" sqref="D23:H25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8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12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359737.7414285714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359737.7414285714</v>
      </c>
      <c r="O6" s="232"/>
      <c r="P6" s="232"/>
    </row>
    <row r="7" spans="1:16" ht="13.5" thickBot="1">
      <c r="C7" s="431" t="s">
        <v>46</v>
      </c>
      <c r="D7" s="432" t="s">
        <v>237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236</v>
      </c>
      <c r="E9" s="577" t="s">
        <v>294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3305767.14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2012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8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78708.741428571433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2012</v>
      </c>
      <c r="D17" s="473">
        <v>1132400</v>
      </c>
      <c r="E17" s="474">
        <v>3629.4871794871797</v>
      </c>
      <c r="F17" s="473">
        <v>1128770.5128205128</v>
      </c>
      <c r="G17" s="474">
        <v>160761.94360740471</v>
      </c>
      <c r="H17" s="481">
        <v>160761.94360740471</v>
      </c>
      <c r="I17" s="475">
        <f t="shared" ref="I17:I48" si="0">H17-G17</f>
        <v>0</v>
      </c>
      <c r="J17" s="475"/>
      <c r="K17" s="554">
        <f t="shared" ref="K17:K22" si="1">G17</f>
        <v>160761.94360740471</v>
      </c>
      <c r="L17" s="562">
        <f t="shared" ref="L17:L48" si="2">IF(K17&lt;&gt;0,+G17-K17,0)</f>
        <v>0</v>
      </c>
      <c r="M17" s="554">
        <f t="shared" ref="M17:M22" si="3">H17</f>
        <v>160761.94360740471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>
      <c r="B18" s="160" t="str">
        <f t="shared" ref="B18:B49" si="6">IF(D18=F17,"","IU")</f>
        <v>IU</v>
      </c>
      <c r="C18" s="472">
        <f>IF(D11="","-",+C17+1)</f>
        <v>2013</v>
      </c>
      <c r="D18" s="473">
        <v>2746405</v>
      </c>
      <c r="E18" s="480">
        <v>52885</v>
      </c>
      <c r="F18" s="473">
        <v>2693519</v>
      </c>
      <c r="G18" s="480">
        <v>437538</v>
      </c>
      <c r="H18" s="481">
        <v>437538</v>
      </c>
      <c r="I18" s="475">
        <f t="shared" si="0"/>
        <v>0</v>
      </c>
      <c r="J18" s="475"/>
      <c r="K18" s="476">
        <f t="shared" si="1"/>
        <v>437538</v>
      </c>
      <c r="L18" s="550">
        <f t="shared" ref="L18:L23" si="7">IF(K18&lt;&gt;0,+G18-K18,0)</f>
        <v>0</v>
      </c>
      <c r="M18" s="476">
        <f t="shared" si="3"/>
        <v>437538</v>
      </c>
      <c r="N18" s="478">
        <f t="shared" ref="N18:N23" si="8">IF(M18&lt;&gt;0,+H18-M18,0)</f>
        <v>0</v>
      </c>
      <c r="O18" s="478">
        <f t="shared" ref="O18:O23" si="9">+N18-L18</f>
        <v>0</v>
      </c>
      <c r="P18" s="242"/>
    </row>
    <row r="19" spans="2:16">
      <c r="B19" s="160" t="str">
        <f t="shared" si="6"/>
        <v>IU</v>
      </c>
      <c r="C19" s="472">
        <f>IF(D11="","-",+C18+1)</f>
        <v>2014</v>
      </c>
      <c r="D19" s="473">
        <v>3185619.512820513</v>
      </c>
      <c r="E19" s="480">
        <v>62348.730769230766</v>
      </c>
      <c r="F19" s="473">
        <v>3123270.782051282</v>
      </c>
      <c r="G19" s="480">
        <v>492294.73076923075</v>
      </c>
      <c r="H19" s="481">
        <v>492294.73076923075</v>
      </c>
      <c r="I19" s="475">
        <v>0</v>
      </c>
      <c r="J19" s="475"/>
      <c r="K19" s="476">
        <f t="shared" si="1"/>
        <v>492294.73076923075</v>
      </c>
      <c r="L19" s="550">
        <f t="shared" si="7"/>
        <v>0</v>
      </c>
      <c r="M19" s="476">
        <f t="shared" si="3"/>
        <v>492294.73076923075</v>
      </c>
      <c r="N19" s="478">
        <f t="shared" si="8"/>
        <v>0</v>
      </c>
      <c r="O19" s="478">
        <f t="shared" si="9"/>
        <v>0</v>
      </c>
      <c r="P19" s="242"/>
    </row>
    <row r="20" spans="2:16">
      <c r="B20" s="160" t="str">
        <f t="shared" si="6"/>
        <v>IU</v>
      </c>
      <c r="C20" s="472">
        <f>IF(D11="","-",+C19+1)</f>
        <v>2015</v>
      </c>
      <c r="D20" s="473">
        <v>3186903.9220512821</v>
      </c>
      <c r="E20" s="480">
        <v>63572.445</v>
      </c>
      <c r="F20" s="473">
        <v>3123331.4770512823</v>
      </c>
      <c r="G20" s="480">
        <v>494191.44500000001</v>
      </c>
      <c r="H20" s="481">
        <v>494191.44500000001</v>
      </c>
      <c r="I20" s="475">
        <v>0</v>
      </c>
      <c r="J20" s="475"/>
      <c r="K20" s="476">
        <f t="shared" si="1"/>
        <v>494191.44500000001</v>
      </c>
      <c r="L20" s="550">
        <f t="shared" si="7"/>
        <v>0</v>
      </c>
      <c r="M20" s="476">
        <f t="shared" si="3"/>
        <v>494191.44500000001</v>
      </c>
      <c r="N20" s="478">
        <f t="shared" si="8"/>
        <v>0</v>
      </c>
      <c r="O20" s="478">
        <f t="shared" si="9"/>
        <v>0</v>
      </c>
      <c r="P20" s="242"/>
    </row>
    <row r="21" spans="2:16">
      <c r="B21" s="160" t="str">
        <f t="shared" si="6"/>
        <v/>
      </c>
      <c r="C21" s="472">
        <f>IF(D11="","-",+C20+1)</f>
        <v>2016</v>
      </c>
      <c r="D21" s="473">
        <v>3123331.4770512823</v>
      </c>
      <c r="E21" s="480">
        <v>63572.445</v>
      </c>
      <c r="F21" s="473">
        <v>3059759.0320512825</v>
      </c>
      <c r="G21" s="480">
        <v>464889.44500000001</v>
      </c>
      <c r="H21" s="481">
        <v>464889.44500000001</v>
      </c>
      <c r="I21" s="475">
        <f t="shared" si="0"/>
        <v>0</v>
      </c>
      <c r="J21" s="475"/>
      <c r="K21" s="476">
        <f t="shared" si="1"/>
        <v>464889.44500000001</v>
      </c>
      <c r="L21" s="550">
        <f t="shared" si="7"/>
        <v>0</v>
      </c>
      <c r="M21" s="476">
        <f t="shared" si="3"/>
        <v>464889.44500000001</v>
      </c>
      <c r="N21" s="478">
        <f t="shared" si="8"/>
        <v>0</v>
      </c>
      <c r="O21" s="478">
        <f t="shared" si="9"/>
        <v>0</v>
      </c>
      <c r="P21" s="242"/>
    </row>
    <row r="22" spans="2:16">
      <c r="B22" s="160" t="str">
        <f t="shared" si="6"/>
        <v/>
      </c>
      <c r="C22" s="472">
        <f>IF(D11="","-",+C21+1)</f>
        <v>2017</v>
      </c>
      <c r="D22" s="473">
        <v>3059759.0320512825</v>
      </c>
      <c r="E22" s="480">
        <v>71864.503043478268</v>
      </c>
      <c r="F22" s="473">
        <v>2987894.5290078041</v>
      </c>
      <c r="G22" s="480">
        <v>452105.50304347824</v>
      </c>
      <c r="H22" s="481">
        <v>452105.50304347824</v>
      </c>
      <c r="I22" s="475">
        <f t="shared" si="0"/>
        <v>0</v>
      </c>
      <c r="J22" s="475"/>
      <c r="K22" s="476">
        <f t="shared" si="1"/>
        <v>452105.50304347824</v>
      </c>
      <c r="L22" s="550">
        <f t="shared" si="7"/>
        <v>0</v>
      </c>
      <c r="M22" s="476">
        <f t="shared" si="3"/>
        <v>452105.50304347824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/>
      </c>
      <c r="C23" s="472">
        <f>IF(D11="","-",+C22+1)</f>
        <v>2018</v>
      </c>
      <c r="D23" s="473">
        <v>2987894.5290078041</v>
      </c>
      <c r="E23" s="480">
        <v>73461.491999999998</v>
      </c>
      <c r="F23" s="473">
        <v>2914433.037007804</v>
      </c>
      <c r="G23" s="480">
        <v>467887.49199999997</v>
      </c>
      <c r="H23" s="481">
        <v>467887.49199999997</v>
      </c>
      <c r="I23" s="475">
        <f t="shared" si="0"/>
        <v>0</v>
      </c>
      <c r="J23" s="475"/>
      <c r="K23" s="476">
        <f>G23</f>
        <v>467887.49199999997</v>
      </c>
      <c r="L23" s="550">
        <f t="shared" si="7"/>
        <v>0</v>
      </c>
      <c r="M23" s="476">
        <f>H23</f>
        <v>467887.49199999997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2019</v>
      </c>
      <c r="D24" s="473">
        <v>2914433.037007804</v>
      </c>
      <c r="E24" s="480">
        <v>73461.491999999998</v>
      </c>
      <c r="F24" s="473">
        <v>2840971.5450078039</v>
      </c>
      <c r="G24" s="480">
        <v>457945.49199999997</v>
      </c>
      <c r="H24" s="481">
        <v>457945.49199999997</v>
      </c>
      <c r="I24" s="475">
        <f t="shared" si="0"/>
        <v>0</v>
      </c>
      <c r="J24" s="475"/>
      <c r="K24" s="476">
        <f>G24</f>
        <v>457945.49199999997</v>
      </c>
      <c r="L24" s="550">
        <f t="shared" ref="L24" si="10">IF(K24&lt;&gt;0,+G24-K24,0)</f>
        <v>0</v>
      </c>
      <c r="M24" s="476">
        <f>H24</f>
        <v>457945.49199999997</v>
      </c>
      <c r="N24" s="478">
        <f t="shared" ref="N24" si="11">IF(M24&lt;&gt;0,+H24-M24,0)</f>
        <v>0</v>
      </c>
      <c r="O24" s="478">
        <f t="shared" ref="O24" si="12">+N24-L24</f>
        <v>0</v>
      </c>
      <c r="P24" s="242"/>
    </row>
    <row r="25" spans="2:16">
      <c r="B25" s="160" t="str">
        <f t="shared" si="6"/>
        <v/>
      </c>
      <c r="C25" s="472">
        <f>IF(D11="","-",+C24+1)</f>
        <v>2020</v>
      </c>
      <c r="D25" s="473">
        <v>2840971.5450078039</v>
      </c>
      <c r="E25" s="480">
        <v>78708.741428571433</v>
      </c>
      <c r="F25" s="473">
        <v>2762262.8035792327</v>
      </c>
      <c r="G25" s="480">
        <v>381296.77932523622</v>
      </c>
      <c r="H25" s="481">
        <v>381296.77932523622</v>
      </c>
      <c r="I25" s="475">
        <f t="shared" si="0"/>
        <v>0</v>
      </c>
      <c r="J25" s="475"/>
      <c r="K25" s="476">
        <f>G25</f>
        <v>381296.77932523622</v>
      </c>
      <c r="L25" s="550">
        <f t="shared" ref="L25" si="13">IF(K25&lt;&gt;0,+G25-K25,0)</f>
        <v>0</v>
      </c>
      <c r="M25" s="476">
        <f>H25</f>
        <v>381296.77932523622</v>
      </c>
      <c r="N25" s="478">
        <f t="shared" si="4"/>
        <v>0</v>
      </c>
      <c r="O25" s="478">
        <f t="shared" si="5"/>
        <v>0</v>
      </c>
      <c r="P25" s="242"/>
    </row>
    <row r="26" spans="2:16">
      <c r="B26" s="160" t="str">
        <f t="shared" si="6"/>
        <v>IU</v>
      </c>
      <c r="C26" s="472">
        <f>IF(D11="","-",+C25+1)</f>
        <v>2021</v>
      </c>
      <c r="D26" s="473">
        <v>2753080.1170792324</v>
      </c>
      <c r="E26" s="480">
        <v>76878.305581395354</v>
      </c>
      <c r="F26" s="473">
        <v>2676201.8114978368</v>
      </c>
      <c r="G26" s="480">
        <v>365431.30558139534</v>
      </c>
      <c r="H26" s="481">
        <v>365431.30558139534</v>
      </c>
      <c r="I26" s="475">
        <f t="shared" si="0"/>
        <v>0</v>
      </c>
      <c r="J26" s="475"/>
      <c r="K26" s="476">
        <f>G26</f>
        <v>365431.30558139534</v>
      </c>
      <c r="L26" s="550">
        <f t="shared" ref="L26" si="14">IF(K26&lt;&gt;0,+G26-K26,0)</f>
        <v>0</v>
      </c>
      <c r="M26" s="476">
        <f>H26</f>
        <v>365431.30558139534</v>
      </c>
      <c r="N26" s="478">
        <f t="shared" si="4"/>
        <v>0</v>
      </c>
      <c r="O26" s="478">
        <f t="shared" si="5"/>
        <v>0</v>
      </c>
      <c r="P26" s="242"/>
    </row>
    <row r="27" spans="2:16">
      <c r="B27" s="160" t="str">
        <f t="shared" si="6"/>
        <v>IU</v>
      </c>
      <c r="C27" s="472">
        <f>IF(D11="","-",+C26+1)</f>
        <v>2022</v>
      </c>
      <c r="D27" s="483">
        <f>IF(F26+SUM(E$17:E26)=D$10,F26,D$10-SUM(E$17:E26))</f>
        <v>2685384.4979978371</v>
      </c>
      <c r="E27" s="484">
        <f>IF(+I14&lt;F26,I14,D27)</f>
        <v>78708.741428571433</v>
      </c>
      <c r="F27" s="485">
        <f t="shared" ref="F27:F48" si="15">+D27-E27</f>
        <v>2606675.7565692659</v>
      </c>
      <c r="G27" s="486">
        <f t="shared" ref="G27:G49" si="16">ROUND(I$12*F27,0)+E27</f>
        <v>359737.7414285714</v>
      </c>
      <c r="H27" s="455">
        <f t="shared" ref="H27:H49" si="17">ROUND(I$13*F27,0)+E27</f>
        <v>359737.7414285714</v>
      </c>
      <c r="I27" s="475">
        <f t="shared" si="0"/>
        <v>0</v>
      </c>
      <c r="J27" s="475"/>
      <c r="K27" s="487"/>
      <c r="L27" s="478">
        <f t="shared" si="2"/>
        <v>0</v>
      </c>
      <c r="M27" s="487"/>
      <c r="N27" s="478">
        <f t="shared" si="4"/>
        <v>0</v>
      </c>
      <c r="O27" s="478">
        <f t="shared" si="5"/>
        <v>0</v>
      </c>
      <c r="P27" s="242"/>
    </row>
    <row r="28" spans="2:16">
      <c r="B28" s="160" t="str">
        <f t="shared" si="6"/>
        <v/>
      </c>
      <c r="C28" s="472">
        <f>IF(D11="","-",+C27+1)</f>
        <v>2023</v>
      </c>
      <c r="D28" s="485">
        <f>IF(F27+SUM(E$17:E27)=D$10,F27,D$10-SUM(E$17:E27))</f>
        <v>2606675.7565692659</v>
      </c>
      <c r="E28" s="484">
        <f>IF(+I14&lt;F27,I14,D28)</f>
        <v>78708.741428571433</v>
      </c>
      <c r="F28" s="485">
        <f t="shared" si="15"/>
        <v>2527967.0151406946</v>
      </c>
      <c r="G28" s="486">
        <f t="shared" si="16"/>
        <v>351251.7414285714</v>
      </c>
      <c r="H28" s="455">
        <f t="shared" si="17"/>
        <v>351251.7414285714</v>
      </c>
      <c r="I28" s="475">
        <f t="shared" si="0"/>
        <v>0</v>
      </c>
      <c r="J28" s="475"/>
      <c r="K28" s="487"/>
      <c r="L28" s="478">
        <f t="shared" si="2"/>
        <v>0</v>
      </c>
      <c r="M28" s="487"/>
      <c r="N28" s="478">
        <f t="shared" si="4"/>
        <v>0</v>
      </c>
      <c r="O28" s="478">
        <f t="shared" si="5"/>
        <v>0</v>
      </c>
      <c r="P28" s="242"/>
    </row>
    <row r="29" spans="2:16">
      <c r="B29" s="160" t="str">
        <f t="shared" si="6"/>
        <v/>
      </c>
      <c r="C29" s="472">
        <f>IF(D11="","-",+C28+1)</f>
        <v>2024</v>
      </c>
      <c r="D29" s="485">
        <f>IF(F28+SUM(E$17:E28)=D$10,F28,D$10-SUM(E$17:E28))</f>
        <v>2527967.0151406946</v>
      </c>
      <c r="E29" s="484">
        <f>IF(+I14&lt;F28,I14,D29)</f>
        <v>78708.741428571433</v>
      </c>
      <c r="F29" s="485">
        <f t="shared" si="15"/>
        <v>2449258.2737121233</v>
      </c>
      <c r="G29" s="486">
        <f t="shared" si="16"/>
        <v>342766.7414285714</v>
      </c>
      <c r="H29" s="455">
        <f t="shared" si="17"/>
        <v>342766.7414285714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>
      <c r="B30" s="160" t="str">
        <f t="shared" si="6"/>
        <v/>
      </c>
      <c r="C30" s="472">
        <f>IF(D11="","-",+C29+1)</f>
        <v>2025</v>
      </c>
      <c r="D30" s="485">
        <f>IF(F29+SUM(E$17:E29)=D$10,F29,D$10-SUM(E$17:E29))</f>
        <v>2449258.2737121233</v>
      </c>
      <c r="E30" s="484">
        <f>IF(+I14&lt;F29,I14,D30)</f>
        <v>78708.741428571433</v>
      </c>
      <c r="F30" s="485">
        <f t="shared" si="15"/>
        <v>2370549.532283552</v>
      </c>
      <c r="G30" s="486">
        <f t="shared" si="16"/>
        <v>334280.7414285714</v>
      </c>
      <c r="H30" s="455">
        <f t="shared" si="17"/>
        <v>334280.7414285714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>
      <c r="B31" s="160" t="str">
        <f t="shared" si="6"/>
        <v/>
      </c>
      <c r="C31" s="472">
        <f>IF(D11="","-",+C30+1)</f>
        <v>2026</v>
      </c>
      <c r="D31" s="485">
        <f>IF(F30+SUM(E$17:E30)=D$10,F30,D$10-SUM(E$17:E30))</f>
        <v>2370549.532283552</v>
      </c>
      <c r="E31" s="484">
        <f>IF(+I14&lt;F30,I14,D31)</f>
        <v>78708.741428571433</v>
      </c>
      <c r="F31" s="485">
        <f t="shared" si="15"/>
        <v>2291840.7908549807</v>
      </c>
      <c r="G31" s="486">
        <f t="shared" si="16"/>
        <v>325794.7414285714</v>
      </c>
      <c r="H31" s="455">
        <f t="shared" si="17"/>
        <v>325794.7414285714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>
      <c r="B32" s="160" t="str">
        <f t="shared" si="6"/>
        <v/>
      </c>
      <c r="C32" s="472">
        <f>IF(D11="","-",+C31+1)</f>
        <v>2027</v>
      </c>
      <c r="D32" s="485">
        <f>IF(F31+SUM(E$17:E31)=D$10,F31,D$10-SUM(E$17:E31))</f>
        <v>2291840.7908549807</v>
      </c>
      <c r="E32" s="484">
        <f>IF(+I14&lt;F31,I14,D32)</f>
        <v>78708.741428571433</v>
      </c>
      <c r="F32" s="485">
        <f t="shared" si="15"/>
        <v>2213132.0494264094</v>
      </c>
      <c r="G32" s="486">
        <f t="shared" si="16"/>
        <v>317309.7414285714</v>
      </c>
      <c r="H32" s="455">
        <f t="shared" si="17"/>
        <v>317309.7414285714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>
      <c r="B33" s="160" t="str">
        <f t="shared" si="6"/>
        <v/>
      </c>
      <c r="C33" s="472">
        <f>IF(D11="","-",+C32+1)</f>
        <v>2028</v>
      </c>
      <c r="D33" s="485">
        <f>IF(F32+SUM(E$17:E32)=D$10,F32,D$10-SUM(E$17:E32))</f>
        <v>2213132.0494264094</v>
      </c>
      <c r="E33" s="484">
        <f>IF(+I14&lt;F32,I14,D33)</f>
        <v>78708.741428571433</v>
      </c>
      <c r="F33" s="485">
        <f t="shared" si="15"/>
        <v>2134423.3079978381</v>
      </c>
      <c r="G33" s="486">
        <f t="shared" si="16"/>
        <v>308823.7414285714</v>
      </c>
      <c r="H33" s="455">
        <f t="shared" si="17"/>
        <v>308823.7414285714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>
      <c r="B34" s="160" t="str">
        <f t="shared" si="6"/>
        <v/>
      </c>
      <c r="C34" s="472">
        <f>IF(D11="","-",+C33+1)</f>
        <v>2029</v>
      </c>
      <c r="D34" s="485">
        <f>IF(F33+SUM(E$17:E33)=D$10,F33,D$10-SUM(E$17:E33))</f>
        <v>2134423.3079978381</v>
      </c>
      <c r="E34" s="484">
        <f>IF(+I14&lt;F33,I14,D34)</f>
        <v>78708.741428571433</v>
      </c>
      <c r="F34" s="485">
        <f t="shared" si="15"/>
        <v>2055714.5665692666</v>
      </c>
      <c r="G34" s="486">
        <f t="shared" si="16"/>
        <v>300337.7414285714</v>
      </c>
      <c r="H34" s="455">
        <f t="shared" si="17"/>
        <v>300337.7414285714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>
      <c r="B35" s="160" t="str">
        <f t="shared" si="6"/>
        <v/>
      </c>
      <c r="C35" s="472">
        <f>IF(D11="","-",+C34+1)</f>
        <v>2030</v>
      </c>
      <c r="D35" s="485">
        <f>IF(F34+SUM(E$17:E34)=D$10,F34,D$10-SUM(E$17:E34))</f>
        <v>2055714.5665692666</v>
      </c>
      <c r="E35" s="484">
        <f>IF(+I14&lt;F34,I14,D35)</f>
        <v>78708.741428571433</v>
      </c>
      <c r="F35" s="485">
        <f t="shared" si="15"/>
        <v>1977005.8251406951</v>
      </c>
      <c r="G35" s="486">
        <f t="shared" si="16"/>
        <v>291851.7414285714</v>
      </c>
      <c r="H35" s="455">
        <f t="shared" si="17"/>
        <v>291851.7414285714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>
      <c r="B36" s="160" t="str">
        <f t="shared" si="6"/>
        <v/>
      </c>
      <c r="C36" s="472">
        <f>IF(D11="","-",+C35+1)</f>
        <v>2031</v>
      </c>
      <c r="D36" s="485">
        <f>IF(F35+SUM(E$17:E35)=D$10,F35,D$10-SUM(E$17:E35))</f>
        <v>1977005.8251406951</v>
      </c>
      <c r="E36" s="484">
        <f>IF(+I14&lt;F35,I14,D36)</f>
        <v>78708.741428571433</v>
      </c>
      <c r="F36" s="485">
        <f t="shared" si="15"/>
        <v>1898297.0837121236</v>
      </c>
      <c r="G36" s="486">
        <f t="shared" si="16"/>
        <v>283366.7414285714</v>
      </c>
      <c r="H36" s="455">
        <f t="shared" si="17"/>
        <v>283366.7414285714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>
      <c r="B37" s="160" t="str">
        <f t="shared" si="6"/>
        <v/>
      </c>
      <c r="C37" s="472">
        <f>IF(D11="","-",+C36+1)</f>
        <v>2032</v>
      </c>
      <c r="D37" s="485">
        <f>IF(F36+SUM(E$17:E36)=D$10,F36,D$10-SUM(E$17:E36))</f>
        <v>1898297.0837121236</v>
      </c>
      <c r="E37" s="484">
        <f>IF(+I14&lt;F36,I14,D37)</f>
        <v>78708.741428571433</v>
      </c>
      <c r="F37" s="485">
        <f t="shared" si="15"/>
        <v>1819588.342283552</v>
      </c>
      <c r="G37" s="486">
        <f t="shared" si="16"/>
        <v>274880.7414285714</v>
      </c>
      <c r="H37" s="455">
        <f t="shared" si="17"/>
        <v>274880.7414285714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>
      <c r="B38" s="160" t="str">
        <f t="shared" si="6"/>
        <v/>
      </c>
      <c r="C38" s="472">
        <f>IF(D11="","-",+C37+1)</f>
        <v>2033</v>
      </c>
      <c r="D38" s="485">
        <f>IF(F37+SUM(E$17:E37)=D$10,F37,D$10-SUM(E$17:E37))</f>
        <v>1819588.342283552</v>
      </c>
      <c r="E38" s="484">
        <f>IF(+I14&lt;F37,I14,D38)</f>
        <v>78708.741428571433</v>
      </c>
      <c r="F38" s="485">
        <f t="shared" si="15"/>
        <v>1740879.6008549805</v>
      </c>
      <c r="G38" s="486">
        <f t="shared" si="16"/>
        <v>266394.7414285714</v>
      </c>
      <c r="H38" s="455">
        <f t="shared" si="17"/>
        <v>266394.7414285714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>
      <c r="B39" s="160" t="str">
        <f t="shared" si="6"/>
        <v/>
      </c>
      <c r="C39" s="472">
        <f>IF(D11="","-",+C38+1)</f>
        <v>2034</v>
      </c>
      <c r="D39" s="485">
        <f>IF(F38+SUM(E$17:E38)=D$10,F38,D$10-SUM(E$17:E38))</f>
        <v>1740879.6008549805</v>
      </c>
      <c r="E39" s="484">
        <f>IF(+I14&lt;F38,I14,D39)</f>
        <v>78708.741428571433</v>
      </c>
      <c r="F39" s="485">
        <f t="shared" si="15"/>
        <v>1662170.859426409</v>
      </c>
      <c r="G39" s="486">
        <f t="shared" si="16"/>
        <v>257909.74142857143</v>
      </c>
      <c r="H39" s="455">
        <f t="shared" si="17"/>
        <v>257909.74142857143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>
      <c r="B40" s="160" t="str">
        <f t="shared" si="6"/>
        <v/>
      </c>
      <c r="C40" s="472">
        <f>IF(D11="","-",+C39+1)</f>
        <v>2035</v>
      </c>
      <c r="D40" s="485">
        <f>IF(F39+SUM(E$17:E39)=D$10,F39,D$10-SUM(E$17:E39))</f>
        <v>1662170.859426409</v>
      </c>
      <c r="E40" s="484">
        <f>IF(+I14&lt;F39,I14,D40)</f>
        <v>78708.741428571433</v>
      </c>
      <c r="F40" s="485">
        <f t="shared" si="15"/>
        <v>1583462.1179978375</v>
      </c>
      <c r="G40" s="486">
        <f t="shared" si="16"/>
        <v>249423.74142857143</v>
      </c>
      <c r="H40" s="455">
        <f t="shared" si="17"/>
        <v>249423.74142857143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>
      <c r="B41" s="160" t="str">
        <f t="shared" si="6"/>
        <v/>
      </c>
      <c r="C41" s="472">
        <f>IF(D11="","-",+C40+1)</f>
        <v>2036</v>
      </c>
      <c r="D41" s="485">
        <f>IF(F40+SUM(E$17:E40)=D$10,F40,D$10-SUM(E$17:E40))</f>
        <v>1583462.1179978375</v>
      </c>
      <c r="E41" s="484">
        <f>IF(+I14&lt;F40,I14,D41)</f>
        <v>78708.741428571433</v>
      </c>
      <c r="F41" s="485">
        <f t="shared" si="15"/>
        <v>1504753.376569266</v>
      </c>
      <c r="G41" s="486">
        <f t="shared" si="16"/>
        <v>240937.74142857143</v>
      </c>
      <c r="H41" s="455">
        <f t="shared" si="17"/>
        <v>240937.74142857143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>
      <c r="B42" s="160" t="str">
        <f t="shared" si="6"/>
        <v/>
      </c>
      <c r="C42" s="472">
        <f>IF(D11="","-",+C41+1)</f>
        <v>2037</v>
      </c>
      <c r="D42" s="485">
        <f>IF(F41+SUM(E$17:E41)=D$10,F41,D$10-SUM(E$17:E41))</f>
        <v>1504753.376569266</v>
      </c>
      <c r="E42" s="484">
        <f>IF(+I14&lt;F41,I14,D42)</f>
        <v>78708.741428571433</v>
      </c>
      <c r="F42" s="485">
        <f t="shared" si="15"/>
        <v>1426044.6351406944</v>
      </c>
      <c r="G42" s="486">
        <f t="shared" si="16"/>
        <v>232452.74142857143</v>
      </c>
      <c r="H42" s="455">
        <f t="shared" si="17"/>
        <v>232452.74142857143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>
      <c r="B43" s="160" t="str">
        <f t="shared" si="6"/>
        <v/>
      </c>
      <c r="C43" s="472">
        <f>IF(D11="","-",+C42+1)</f>
        <v>2038</v>
      </c>
      <c r="D43" s="485">
        <f>IF(F42+SUM(E$17:E42)=D$10,F42,D$10-SUM(E$17:E42))</f>
        <v>1426044.6351406944</v>
      </c>
      <c r="E43" s="484">
        <f>IF(+I14&lt;F42,I14,D43)</f>
        <v>78708.741428571433</v>
      </c>
      <c r="F43" s="485">
        <f t="shared" si="15"/>
        <v>1347335.8937121229</v>
      </c>
      <c r="G43" s="486">
        <f t="shared" si="16"/>
        <v>223966.74142857143</v>
      </c>
      <c r="H43" s="455">
        <f t="shared" si="17"/>
        <v>223966.74142857143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>
      <c r="B44" s="160" t="str">
        <f t="shared" si="6"/>
        <v/>
      </c>
      <c r="C44" s="472">
        <f>IF(D11="","-",+C43+1)</f>
        <v>2039</v>
      </c>
      <c r="D44" s="485">
        <f>IF(F43+SUM(E$17:E43)=D$10,F43,D$10-SUM(E$17:E43))</f>
        <v>1347335.8937121229</v>
      </c>
      <c r="E44" s="484">
        <f>IF(+I14&lt;F43,I14,D44)</f>
        <v>78708.741428571433</v>
      </c>
      <c r="F44" s="485">
        <f t="shared" si="15"/>
        <v>1268627.1522835514</v>
      </c>
      <c r="G44" s="486">
        <f t="shared" si="16"/>
        <v>215480.74142857143</v>
      </c>
      <c r="H44" s="455">
        <f t="shared" si="17"/>
        <v>215480.74142857143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>
      <c r="B45" s="160" t="str">
        <f t="shared" si="6"/>
        <v/>
      </c>
      <c r="C45" s="472">
        <f>IF(D11="","-",+C44+1)</f>
        <v>2040</v>
      </c>
      <c r="D45" s="485">
        <f>IF(F44+SUM(E$17:E44)=D$10,F44,D$10-SUM(E$17:E44))</f>
        <v>1268627.1522835514</v>
      </c>
      <c r="E45" s="484">
        <f>IF(+I14&lt;F44,I14,D45)</f>
        <v>78708.741428571433</v>
      </c>
      <c r="F45" s="485">
        <f t="shared" si="15"/>
        <v>1189918.4108549799</v>
      </c>
      <c r="G45" s="486">
        <f t="shared" si="16"/>
        <v>206995.74142857143</v>
      </c>
      <c r="H45" s="455">
        <f t="shared" si="17"/>
        <v>206995.74142857143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>
      <c r="B46" s="160" t="str">
        <f t="shared" si="6"/>
        <v/>
      </c>
      <c r="C46" s="472">
        <f>IF(D11="","-",+C45+1)</f>
        <v>2041</v>
      </c>
      <c r="D46" s="485">
        <f>IF(F45+SUM(E$17:E45)=D$10,F45,D$10-SUM(E$17:E45))</f>
        <v>1189918.4108549799</v>
      </c>
      <c r="E46" s="484">
        <f>IF(+I14&lt;F45,I14,D46)</f>
        <v>78708.741428571433</v>
      </c>
      <c r="F46" s="485">
        <f t="shared" si="15"/>
        <v>1111209.6694264084</v>
      </c>
      <c r="G46" s="486">
        <f t="shared" si="16"/>
        <v>198509.74142857143</v>
      </c>
      <c r="H46" s="455">
        <f t="shared" si="17"/>
        <v>198509.74142857143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>
      <c r="B47" s="160" t="str">
        <f t="shared" si="6"/>
        <v/>
      </c>
      <c r="C47" s="472">
        <f>IF(D11="","-",+C46+1)</f>
        <v>2042</v>
      </c>
      <c r="D47" s="485">
        <f>IF(F46+SUM(E$17:E46)=D$10,F46,D$10-SUM(E$17:E46))</f>
        <v>1111209.6694264084</v>
      </c>
      <c r="E47" s="484">
        <f>IF(+I14&lt;F46,I14,D47)</f>
        <v>78708.741428571433</v>
      </c>
      <c r="F47" s="485">
        <f t="shared" si="15"/>
        <v>1032500.927997837</v>
      </c>
      <c r="G47" s="486">
        <f t="shared" si="16"/>
        <v>190023.74142857143</v>
      </c>
      <c r="H47" s="455">
        <f t="shared" si="17"/>
        <v>190023.74142857143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>
      <c r="B48" s="160" t="str">
        <f t="shared" si="6"/>
        <v/>
      </c>
      <c r="C48" s="472">
        <f>IF(D11="","-",+C47+1)</f>
        <v>2043</v>
      </c>
      <c r="D48" s="485">
        <f>IF(F47+SUM(E$17:E47)=D$10,F47,D$10-SUM(E$17:E47))</f>
        <v>1032500.927997837</v>
      </c>
      <c r="E48" s="484">
        <f>IF(+I14&lt;F47,I14,D48)</f>
        <v>78708.741428571433</v>
      </c>
      <c r="F48" s="485">
        <f t="shared" si="15"/>
        <v>953792.18656926556</v>
      </c>
      <c r="G48" s="486">
        <f t="shared" si="16"/>
        <v>181538.74142857143</v>
      </c>
      <c r="H48" s="455">
        <f t="shared" si="17"/>
        <v>181538.74142857143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>
      <c r="B49" s="160" t="str">
        <f t="shared" si="6"/>
        <v/>
      </c>
      <c r="C49" s="472">
        <f>IF(D11="","-",+C48+1)</f>
        <v>2044</v>
      </c>
      <c r="D49" s="485">
        <f>IF(F48+SUM(E$17:E48)=D$10,F48,D$10-SUM(E$17:E48))</f>
        <v>953792.18656926556</v>
      </c>
      <c r="E49" s="484">
        <f>IF(+I14&lt;F48,I14,D49)</f>
        <v>78708.741428571433</v>
      </c>
      <c r="F49" s="485">
        <f t="shared" ref="F49:F72" si="18">+D49-E49</f>
        <v>875083.44514069415</v>
      </c>
      <c r="G49" s="486">
        <f t="shared" si="16"/>
        <v>173052.74142857143</v>
      </c>
      <c r="H49" s="455">
        <f t="shared" si="17"/>
        <v>173052.74142857143</v>
      </c>
      <c r="I49" s="475">
        <f t="shared" ref="I49:I72" si="19">H49-G49</f>
        <v>0</v>
      </c>
      <c r="J49" s="475"/>
      <c r="K49" s="487"/>
      <c r="L49" s="478">
        <f t="shared" ref="L49:L72" si="20">IF(K49&lt;&gt;0,+G49-K49,0)</f>
        <v>0</v>
      </c>
      <c r="M49" s="487"/>
      <c r="N49" s="478">
        <f t="shared" ref="N49:N72" si="21">IF(M49&lt;&gt;0,+H49-M49,0)</f>
        <v>0</v>
      </c>
      <c r="O49" s="478">
        <f t="shared" ref="O49:O72" si="22">+N49-L49</f>
        <v>0</v>
      </c>
      <c r="P49" s="242"/>
    </row>
    <row r="50" spans="2:16">
      <c r="B50" s="160" t="str">
        <f t="shared" ref="B50:B72" si="23">IF(D50=F49,"","IU")</f>
        <v/>
      </c>
      <c r="C50" s="472">
        <f>IF(D11="","-",+C49+1)</f>
        <v>2045</v>
      </c>
      <c r="D50" s="485">
        <f>IF(F49+SUM(E$17:E49)=D$10,F49,D$10-SUM(E$17:E49))</f>
        <v>875083.44514069415</v>
      </c>
      <c r="E50" s="484">
        <f>IF(+I14&lt;F49,I14,D50)</f>
        <v>78708.741428571433</v>
      </c>
      <c r="F50" s="485">
        <f t="shared" si="18"/>
        <v>796374.70371212275</v>
      </c>
      <c r="G50" s="486">
        <f t="shared" ref="G50:G72" si="24">ROUND(I$12*F50,0)+E50</f>
        <v>164566.74142857143</v>
      </c>
      <c r="H50" s="455">
        <f t="shared" ref="H50:H72" si="25">ROUND(I$13*F50,0)+E50</f>
        <v>164566.74142857143</v>
      </c>
      <c r="I50" s="475">
        <f t="shared" si="19"/>
        <v>0</v>
      </c>
      <c r="J50" s="475"/>
      <c r="K50" s="487"/>
      <c r="L50" s="478">
        <f t="shared" si="20"/>
        <v>0</v>
      </c>
      <c r="M50" s="487"/>
      <c r="N50" s="478">
        <f t="shared" si="21"/>
        <v>0</v>
      </c>
      <c r="O50" s="478">
        <f t="shared" si="22"/>
        <v>0</v>
      </c>
      <c r="P50" s="242"/>
    </row>
    <row r="51" spans="2:16">
      <c r="B51" s="160" t="str">
        <f t="shared" si="23"/>
        <v/>
      </c>
      <c r="C51" s="472">
        <f>IF(D11="","-",+C50+1)</f>
        <v>2046</v>
      </c>
      <c r="D51" s="485">
        <f>IF(F50+SUM(E$17:E50)=D$10,F50,D$10-SUM(E$17:E50))</f>
        <v>796374.70371212275</v>
      </c>
      <c r="E51" s="484">
        <f>IF(+I14&lt;F50,I14,D51)</f>
        <v>78708.741428571433</v>
      </c>
      <c r="F51" s="485">
        <f t="shared" si="18"/>
        <v>717665.96228355134</v>
      </c>
      <c r="G51" s="486">
        <f t="shared" si="24"/>
        <v>156080.74142857143</v>
      </c>
      <c r="H51" s="455">
        <f t="shared" si="25"/>
        <v>156080.74142857143</v>
      </c>
      <c r="I51" s="475">
        <f t="shared" si="19"/>
        <v>0</v>
      </c>
      <c r="J51" s="475"/>
      <c r="K51" s="487"/>
      <c r="L51" s="478">
        <f t="shared" si="20"/>
        <v>0</v>
      </c>
      <c r="M51" s="487"/>
      <c r="N51" s="478">
        <f t="shared" si="21"/>
        <v>0</v>
      </c>
      <c r="O51" s="478">
        <f t="shared" si="22"/>
        <v>0</v>
      </c>
      <c r="P51" s="242"/>
    </row>
    <row r="52" spans="2:16">
      <c r="B52" s="160" t="str">
        <f t="shared" si="23"/>
        <v/>
      </c>
      <c r="C52" s="472">
        <f>IF(D11="","-",+C51+1)</f>
        <v>2047</v>
      </c>
      <c r="D52" s="485">
        <f>IF(F51+SUM(E$17:E51)=D$10,F51,D$10-SUM(E$17:E51))</f>
        <v>717665.96228355134</v>
      </c>
      <c r="E52" s="484">
        <f>IF(+I14&lt;F51,I14,D52)</f>
        <v>78708.741428571433</v>
      </c>
      <c r="F52" s="485">
        <f t="shared" si="18"/>
        <v>638957.22085497994</v>
      </c>
      <c r="G52" s="486">
        <f t="shared" si="24"/>
        <v>147595.74142857143</v>
      </c>
      <c r="H52" s="455">
        <f t="shared" si="25"/>
        <v>147595.74142857143</v>
      </c>
      <c r="I52" s="475">
        <f t="shared" si="19"/>
        <v>0</v>
      </c>
      <c r="J52" s="475"/>
      <c r="K52" s="487"/>
      <c r="L52" s="478">
        <f t="shared" si="20"/>
        <v>0</v>
      </c>
      <c r="M52" s="487"/>
      <c r="N52" s="478">
        <f t="shared" si="21"/>
        <v>0</v>
      </c>
      <c r="O52" s="478">
        <f t="shared" si="22"/>
        <v>0</v>
      </c>
      <c r="P52" s="242"/>
    </row>
    <row r="53" spans="2:16">
      <c r="B53" s="160" t="str">
        <f t="shared" si="23"/>
        <v/>
      </c>
      <c r="C53" s="472">
        <f>IF(D11="","-",+C52+1)</f>
        <v>2048</v>
      </c>
      <c r="D53" s="485">
        <f>IF(F52+SUM(E$17:E52)=D$10,F52,D$10-SUM(E$17:E52))</f>
        <v>638957.22085497994</v>
      </c>
      <c r="E53" s="484">
        <f>IF(+I14&lt;F52,I14,D53)</f>
        <v>78708.741428571433</v>
      </c>
      <c r="F53" s="485">
        <f t="shared" si="18"/>
        <v>560248.47942640854</v>
      </c>
      <c r="G53" s="486">
        <f t="shared" si="24"/>
        <v>139109.74142857143</v>
      </c>
      <c r="H53" s="455">
        <f t="shared" si="25"/>
        <v>139109.74142857143</v>
      </c>
      <c r="I53" s="475">
        <f t="shared" si="19"/>
        <v>0</v>
      </c>
      <c r="J53" s="475"/>
      <c r="K53" s="487"/>
      <c r="L53" s="478">
        <f t="shared" si="20"/>
        <v>0</v>
      </c>
      <c r="M53" s="487"/>
      <c r="N53" s="478">
        <f t="shared" si="21"/>
        <v>0</v>
      </c>
      <c r="O53" s="478">
        <f t="shared" si="22"/>
        <v>0</v>
      </c>
      <c r="P53" s="242"/>
    </row>
    <row r="54" spans="2:16">
      <c r="B54" s="160" t="str">
        <f t="shared" si="23"/>
        <v/>
      </c>
      <c r="C54" s="472">
        <f>IF(D11="","-",+C53+1)</f>
        <v>2049</v>
      </c>
      <c r="D54" s="485">
        <f>IF(F53+SUM(E$17:E53)=D$10,F53,D$10-SUM(E$17:E53))</f>
        <v>560248.47942640854</v>
      </c>
      <c r="E54" s="484">
        <f>IF(+I14&lt;F53,I14,D54)</f>
        <v>78708.741428571433</v>
      </c>
      <c r="F54" s="485">
        <f t="shared" si="18"/>
        <v>481539.73799783713</v>
      </c>
      <c r="G54" s="486">
        <f t="shared" si="24"/>
        <v>130623.74142857143</v>
      </c>
      <c r="H54" s="455">
        <f t="shared" si="25"/>
        <v>130623.74142857143</v>
      </c>
      <c r="I54" s="475">
        <f t="shared" si="19"/>
        <v>0</v>
      </c>
      <c r="J54" s="475"/>
      <c r="K54" s="487"/>
      <c r="L54" s="478">
        <f t="shared" si="20"/>
        <v>0</v>
      </c>
      <c r="M54" s="487"/>
      <c r="N54" s="478">
        <f t="shared" si="21"/>
        <v>0</v>
      </c>
      <c r="O54" s="478">
        <f t="shared" si="22"/>
        <v>0</v>
      </c>
      <c r="P54" s="242"/>
    </row>
    <row r="55" spans="2:16">
      <c r="B55" s="160" t="str">
        <f t="shared" si="23"/>
        <v/>
      </c>
      <c r="C55" s="472">
        <f>IF(D11="","-",+C54+1)</f>
        <v>2050</v>
      </c>
      <c r="D55" s="485">
        <f>IF(F54+SUM(E$17:E54)=D$10,F54,D$10-SUM(E$17:E54))</f>
        <v>481539.73799783713</v>
      </c>
      <c r="E55" s="484">
        <f>IF(+I14&lt;F54,I14,D55)</f>
        <v>78708.741428571433</v>
      </c>
      <c r="F55" s="485">
        <f t="shared" si="18"/>
        <v>402830.99656926573</v>
      </c>
      <c r="G55" s="486">
        <f t="shared" si="24"/>
        <v>122138.74142857143</v>
      </c>
      <c r="H55" s="455">
        <f t="shared" si="25"/>
        <v>122138.74142857143</v>
      </c>
      <c r="I55" s="475">
        <f t="shared" si="19"/>
        <v>0</v>
      </c>
      <c r="J55" s="475"/>
      <c r="K55" s="487"/>
      <c r="L55" s="478">
        <f t="shared" si="20"/>
        <v>0</v>
      </c>
      <c r="M55" s="487"/>
      <c r="N55" s="478">
        <f t="shared" si="21"/>
        <v>0</v>
      </c>
      <c r="O55" s="478">
        <f t="shared" si="22"/>
        <v>0</v>
      </c>
      <c r="P55" s="242"/>
    </row>
    <row r="56" spans="2:16">
      <c r="B56" s="160" t="str">
        <f t="shared" si="23"/>
        <v/>
      </c>
      <c r="C56" s="472">
        <f>IF(D11="","-",+C55+1)</f>
        <v>2051</v>
      </c>
      <c r="D56" s="485">
        <f>IF(F55+SUM(E$17:E55)=D$10,F55,D$10-SUM(E$17:E55))</f>
        <v>402830.99656926573</v>
      </c>
      <c r="E56" s="484">
        <f>IF(+I14&lt;F55,I14,D56)</f>
        <v>78708.741428571433</v>
      </c>
      <c r="F56" s="485">
        <f t="shared" si="18"/>
        <v>324122.25514069432</v>
      </c>
      <c r="G56" s="486">
        <f t="shared" si="24"/>
        <v>113652.74142857143</v>
      </c>
      <c r="H56" s="455">
        <f t="shared" si="25"/>
        <v>113652.74142857143</v>
      </c>
      <c r="I56" s="475">
        <f t="shared" si="19"/>
        <v>0</v>
      </c>
      <c r="J56" s="475"/>
      <c r="K56" s="487"/>
      <c r="L56" s="478">
        <f t="shared" si="20"/>
        <v>0</v>
      </c>
      <c r="M56" s="487"/>
      <c r="N56" s="478">
        <f t="shared" si="21"/>
        <v>0</v>
      </c>
      <c r="O56" s="478">
        <f t="shared" si="22"/>
        <v>0</v>
      </c>
      <c r="P56" s="242"/>
    </row>
    <row r="57" spans="2:16">
      <c r="B57" s="160" t="str">
        <f t="shared" si="23"/>
        <v/>
      </c>
      <c r="C57" s="472">
        <f>IF(D11="","-",+C56+1)</f>
        <v>2052</v>
      </c>
      <c r="D57" s="485">
        <f>IF(F56+SUM(E$17:E56)=D$10,F56,D$10-SUM(E$17:E56))</f>
        <v>324122.25514069432</v>
      </c>
      <c r="E57" s="484">
        <f>IF(+I14&lt;F56,I14,D57)</f>
        <v>78708.741428571433</v>
      </c>
      <c r="F57" s="485">
        <f t="shared" si="18"/>
        <v>245413.51371212289</v>
      </c>
      <c r="G57" s="486">
        <f t="shared" si="24"/>
        <v>105166.74142857143</v>
      </c>
      <c r="H57" s="455">
        <f t="shared" si="25"/>
        <v>105166.74142857143</v>
      </c>
      <c r="I57" s="475">
        <f t="shared" si="19"/>
        <v>0</v>
      </c>
      <c r="J57" s="475"/>
      <c r="K57" s="487"/>
      <c r="L57" s="478">
        <f t="shared" si="20"/>
        <v>0</v>
      </c>
      <c r="M57" s="487"/>
      <c r="N57" s="478">
        <f t="shared" si="21"/>
        <v>0</v>
      </c>
      <c r="O57" s="478">
        <f t="shared" si="22"/>
        <v>0</v>
      </c>
      <c r="P57" s="242"/>
    </row>
    <row r="58" spans="2:16">
      <c r="B58" s="160" t="str">
        <f t="shared" si="23"/>
        <v/>
      </c>
      <c r="C58" s="472">
        <f>IF(D11="","-",+C57+1)</f>
        <v>2053</v>
      </c>
      <c r="D58" s="485">
        <f>IF(F57+SUM(E$17:E57)=D$10,F57,D$10-SUM(E$17:E57))</f>
        <v>245413.51371212289</v>
      </c>
      <c r="E58" s="484">
        <f>IF(+I14&lt;F57,I14,D58)</f>
        <v>78708.741428571433</v>
      </c>
      <c r="F58" s="485">
        <f t="shared" si="18"/>
        <v>166704.77228355146</v>
      </c>
      <c r="G58" s="486">
        <f t="shared" si="24"/>
        <v>96681.741428571433</v>
      </c>
      <c r="H58" s="455">
        <f t="shared" si="25"/>
        <v>96681.741428571433</v>
      </c>
      <c r="I58" s="475">
        <f t="shared" si="19"/>
        <v>0</v>
      </c>
      <c r="J58" s="475"/>
      <c r="K58" s="487"/>
      <c r="L58" s="478">
        <f t="shared" si="20"/>
        <v>0</v>
      </c>
      <c r="M58" s="487"/>
      <c r="N58" s="478">
        <f t="shared" si="21"/>
        <v>0</v>
      </c>
      <c r="O58" s="478">
        <f t="shared" si="22"/>
        <v>0</v>
      </c>
      <c r="P58" s="242"/>
    </row>
    <row r="59" spans="2:16">
      <c r="B59" s="160" t="str">
        <f t="shared" si="23"/>
        <v/>
      </c>
      <c r="C59" s="472">
        <f>IF(D11="","-",+C58+1)</f>
        <v>2054</v>
      </c>
      <c r="D59" s="485">
        <f>IF(F58+SUM(E$17:E58)=D$10,F58,D$10-SUM(E$17:E58))</f>
        <v>166704.77228355146</v>
      </c>
      <c r="E59" s="484">
        <f>IF(+I14&lt;F58,I14,D59)</f>
        <v>78708.741428571433</v>
      </c>
      <c r="F59" s="485">
        <f t="shared" si="18"/>
        <v>87996.030854980025</v>
      </c>
      <c r="G59" s="486">
        <f t="shared" si="24"/>
        <v>88195.741428571433</v>
      </c>
      <c r="H59" s="455">
        <f t="shared" si="25"/>
        <v>88195.741428571433</v>
      </c>
      <c r="I59" s="475">
        <f t="shared" si="19"/>
        <v>0</v>
      </c>
      <c r="J59" s="475"/>
      <c r="K59" s="487"/>
      <c r="L59" s="478">
        <f t="shared" si="20"/>
        <v>0</v>
      </c>
      <c r="M59" s="487"/>
      <c r="N59" s="478">
        <f t="shared" si="21"/>
        <v>0</v>
      </c>
      <c r="O59" s="478">
        <f t="shared" si="22"/>
        <v>0</v>
      </c>
      <c r="P59" s="242"/>
    </row>
    <row r="60" spans="2:16">
      <c r="B60" s="160" t="str">
        <f t="shared" si="23"/>
        <v/>
      </c>
      <c r="C60" s="472">
        <f>IF(D11="","-",+C59+1)</f>
        <v>2055</v>
      </c>
      <c r="D60" s="485">
        <f>IF(F59+SUM(E$17:E59)=D$10,F59,D$10-SUM(E$17:E59))</f>
        <v>87996.030854980025</v>
      </c>
      <c r="E60" s="484">
        <f>IF(+I14&lt;F59,I14,D60)</f>
        <v>78708.741428571433</v>
      </c>
      <c r="F60" s="485">
        <f t="shared" si="18"/>
        <v>9287.2894264085917</v>
      </c>
      <c r="G60" s="486">
        <f t="shared" si="24"/>
        <v>79709.741428571433</v>
      </c>
      <c r="H60" s="455">
        <f t="shared" si="25"/>
        <v>79709.741428571433</v>
      </c>
      <c r="I60" s="475">
        <f t="shared" si="19"/>
        <v>0</v>
      </c>
      <c r="J60" s="475"/>
      <c r="K60" s="487"/>
      <c r="L60" s="478">
        <f t="shared" si="20"/>
        <v>0</v>
      </c>
      <c r="M60" s="487"/>
      <c r="N60" s="478">
        <f t="shared" si="21"/>
        <v>0</v>
      </c>
      <c r="O60" s="478">
        <f t="shared" si="22"/>
        <v>0</v>
      </c>
      <c r="P60" s="242"/>
    </row>
    <row r="61" spans="2:16">
      <c r="B61" s="160" t="str">
        <f t="shared" si="23"/>
        <v/>
      </c>
      <c r="C61" s="472">
        <f>IF(D11="","-",+C60+1)</f>
        <v>2056</v>
      </c>
      <c r="D61" s="485">
        <f>IF(F60+SUM(E$17:E60)=D$10,F60,D$10-SUM(E$17:E60))</f>
        <v>9287.2894264085917</v>
      </c>
      <c r="E61" s="484">
        <f>IF(+I14&lt;F60,I14,D61)</f>
        <v>9287.2894264085917</v>
      </c>
      <c r="F61" s="485">
        <f t="shared" si="18"/>
        <v>0</v>
      </c>
      <c r="G61" s="488">
        <f t="shared" si="24"/>
        <v>9287.2894264085917</v>
      </c>
      <c r="H61" s="455">
        <f t="shared" si="25"/>
        <v>9287.2894264085917</v>
      </c>
      <c r="I61" s="475">
        <f t="shared" si="19"/>
        <v>0</v>
      </c>
      <c r="J61" s="475"/>
      <c r="K61" s="487"/>
      <c r="L61" s="478">
        <f t="shared" si="20"/>
        <v>0</v>
      </c>
      <c r="M61" s="487"/>
      <c r="N61" s="478">
        <f t="shared" si="21"/>
        <v>0</v>
      </c>
      <c r="O61" s="478">
        <f t="shared" si="22"/>
        <v>0</v>
      </c>
      <c r="P61" s="242"/>
    </row>
    <row r="62" spans="2:16">
      <c r="B62" s="160" t="str">
        <f t="shared" si="23"/>
        <v/>
      </c>
      <c r="C62" s="472">
        <f>IF(D11="","-",+C61+1)</f>
        <v>2057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8"/>
        <v>0</v>
      </c>
      <c r="G62" s="488">
        <f t="shared" si="24"/>
        <v>0</v>
      </c>
      <c r="H62" s="455">
        <f t="shared" si="25"/>
        <v>0</v>
      </c>
      <c r="I62" s="475">
        <f t="shared" si="19"/>
        <v>0</v>
      </c>
      <c r="J62" s="475"/>
      <c r="K62" s="487"/>
      <c r="L62" s="478">
        <f t="shared" si="20"/>
        <v>0</v>
      </c>
      <c r="M62" s="487"/>
      <c r="N62" s="478">
        <f t="shared" si="21"/>
        <v>0</v>
      </c>
      <c r="O62" s="478">
        <f t="shared" si="22"/>
        <v>0</v>
      </c>
      <c r="P62" s="242"/>
    </row>
    <row r="63" spans="2:16">
      <c r="B63" s="160" t="str">
        <f t="shared" si="23"/>
        <v/>
      </c>
      <c r="C63" s="472">
        <f>IF(D11="","-",+C62+1)</f>
        <v>2058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8"/>
        <v>0</v>
      </c>
      <c r="G63" s="488">
        <f t="shared" si="24"/>
        <v>0</v>
      </c>
      <c r="H63" s="455">
        <f t="shared" si="25"/>
        <v>0</v>
      </c>
      <c r="I63" s="475">
        <f t="shared" si="19"/>
        <v>0</v>
      </c>
      <c r="J63" s="475"/>
      <c r="K63" s="487"/>
      <c r="L63" s="478">
        <f t="shared" si="20"/>
        <v>0</v>
      </c>
      <c r="M63" s="487"/>
      <c r="N63" s="478">
        <f t="shared" si="21"/>
        <v>0</v>
      </c>
      <c r="O63" s="478">
        <f t="shared" si="22"/>
        <v>0</v>
      </c>
      <c r="P63" s="242"/>
    </row>
    <row r="64" spans="2:16">
      <c r="B64" s="160" t="str">
        <f t="shared" si="23"/>
        <v/>
      </c>
      <c r="C64" s="472">
        <f>IF(D11="","-",+C63+1)</f>
        <v>2059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8"/>
        <v>0</v>
      </c>
      <c r="G64" s="488">
        <f t="shared" si="24"/>
        <v>0</v>
      </c>
      <c r="H64" s="455">
        <f t="shared" si="25"/>
        <v>0</v>
      </c>
      <c r="I64" s="475">
        <f t="shared" si="19"/>
        <v>0</v>
      </c>
      <c r="J64" s="475"/>
      <c r="K64" s="487"/>
      <c r="L64" s="478">
        <f t="shared" si="20"/>
        <v>0</v>
      </c>
      <c r="M64" s="487"/>
      <c r="N64" s="478">
        <f t="shared" si="21"/>
        <v>0</v>
      </c>
      <c r="O64" s="478">
        <f t="shared" si="22"/>
        <v>0</v>
      </c>
      <c r="P64" s="242"/>
    </row>
    <row r="65" spans="2:16">
      <c r="B65" s="160" t="str">
        <f t="shared" si="23"/>
        <v/>
      </c>
      <c r="C65" s="472">
        <f>IF(D11="","-",+C64+1)</f>
        <v>2060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8"/>
        <v>0</v>
      </c>
      <c r="G65" s="488">
        <f t="shared" si="24"/>
        <v>0</v>
      </c>
      <c r="H65" s="455">
        <f t="shared" si="25"/>
        <v>0</v>
      </c>
      <c r="I65" s="475">
        <f t="shared" si="19"/>
        <v>0</v>
      </c>
      <c r="J65" s="475"/>
      <c r="K65" s="487"/>
      <c r="L65" s="478">
        <f t="shared" si="20"/>
        <v>0</v>
      </c>
      <c r="M65" s="487"/>
      <c r="N65" s="478">
        <f t="shared" si="21"/>
        <v>0</v>
      </c>
      <c r="O65" s="478">
        <f t="shared" si="22"/>
        <v>0</v>
      </c>
      <c r="P65" s="242"/>
    </row>
    <row r="66" spans="2:16">
      <c r="B66" s="160" t="str">
        <f t="shared" si="23"/>
        <v/>
      </c>
      <c r="C66" s="472">
        <f>IF(D11="","-",+C65+1)</f>
        <v>2061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8"/>
        <v>0</v>
      </c>
      <c r="G66" s="488">
        <f t="shared" si="24"/>
        <v>0</v>
      </c>
      <c r="H66" s="455">
        <f t="shared" si="25"/>
        <v>0</v>
      </c>
      <c r="I66" s="475">
        <f t="shared" si="19"/>
        <v>0</v>
      </c>
      <c r="J66" s="475"/>
      <c r="K66" s="487"/>
      <c r="L66" s="478">
        <f t="shared" si="20"/>
        <v>0</v>
      </c>
      <c r="M66" s="487"/>
      <c r="N66" s="478">
        <f t="shared" si="21"/>
        <v>0</v>
      </c>
      <c r="O66" s="478">
        <f t="shared" si="22"/>
        <v>0</v>
      </c>
      <c r="P66" s="242"/>
    </row>
    <row r="67" spans="2:16">
      <c r="B67" s="160" t="str">
        <f t="shared" si="23"/>
        <v/>
      </c>
      <c r="C67" s="472">
        <f>IF(D11="","-",+C66+1)</f>
        <v>2062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8"/>
        <v>0</v>
      </c>
      <c r="G67" s="488">
        <f t="shared" si="24"/>
        <v>0</v>
      </c>
      <c r="H67" s="455">
        <f t="shared" si="25"/>
        <v>0</v>
      </c>
      <c r="I67" s="475">
        <f t="shared" si="19"/>
        <v>0</v>
      </c>
      <c r="J67" s="475"/>
      <c r="K67" s="487"/>
      <c r="L67" s="478">
        <f t="shared" si="20"/>
        <v>0</v>
      </c>
      <c r="M67" s="487"/>
      <c r="N67" s="478">
        <f t="shared" si="21"/>
        <v>0</v>
      </c>
      <c r="O67" s="478">
        <f t="shared" si="22"/>
        <v>0</v>
      </c>
      <c r="P67" s="242"/>
    </row>
    <row r="68" spans="2:16">
      <c r="B68" s="160" t="str">
        <f t="shared" si="23"/>
        <v/>
      </c>
      <c r="C68" s="472">
        <f>IF(D11="","-",+C67+1)</f>
        <v>2063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8"/>
        <v>0</v>
      </c>
      <c r="G68" s="488">
        <f t="shared" si="24"/>
        <v>0</v>
      </c>
      <c r="H68" s="455">
        <f t="shared" si="25"/>
        <v>0</v>
      </c>
      <c r="I68" s="475">
        <f t="shared" si="19"/>
        <v>0</v>
      </c>
      <c r="J68" s="475"/>
      <c r="K68" s="487"/>
      <c r="L68" s="478">
        <f t="shared" si="20"/>
        <v>0</v>
      </c>
      <c r="M68" s="487"/>
      <c r="N68" s="478">
        <f t="shared" si="21"/>
        <v>0</v>
      </c>
      <c r="O68" s="478">
        <f t="shared" si="22"/>
        <v>0</v>
      </c>
      <c r="P68" s="242"/>
    </row>
    <row r="69" spans="2:16">
      <c r="B69" s="160" t="str">
        <f t="shared" si="23"/>
        <v/>
      </c>
      <c r="C69" s="472">
        <f>IF(D11="","-",+C68+1)</f>
        <v>2064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8"/>
        <v>0</v>
      </c>
      <c r="G69" s="488">
        <f t="shared" si="24"/>
        <v>0</v>
      </c>
      <c r="H69" s="455">
        <f t="shared" si="25"/>
        <v>0</v>
      </c>
      <c r="I69" s="475">
        <f t="shared" si="19"/>
        <v>0</v>
      </c>
      <c r="J69" s="475"/>
      <c r="K69" s="487"/>
      <c r="L69" s="478">
        <f t="shared" si="20"/>
        <v>0</v>
      </c>
      <c r="M69" s="487"/>
      <c r="N69" s="478">
        <f t="shared" si="21"/>
        <v>0</v>
      </c>
      <c r="O69" s="478">
        <f t="shared" si="22"/>
        <v>0</v>
      </c>
      <c r="P69" s="242"/>
    </row>
    <row r="70" spans="2:16">
      <c r="B70" s="160" t="str">
        <f t="shared" si="23"/>
        <v/>
      </c>
      <c r="C70" s="472">
        <f>IF(D11="","-",+C69+1)</f>
        <v>2065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8"/>
        <v>0</v>
      </c>
      <c r="G70" s="488">
        <f t="shared" si="24"/>
        <v>0</v>
      </c>
      <c r="H70" s="455">
        <f t="shared" si="25"/>
        <v>0</v>
      </c>
      <c r="I70" s="475">
        <f t="shared" si="19"/>
        <v>0</v>
      </c>
      <c r="J70" s="475"/>
      <c r="K70" s="487"/>
      <c r="L70" s="478">
        <f t="shared" si="20"/>
        <v>0</v>
      </c>
      <c r="M70" s="487"/>
      <c r="N70" s="478">
        <f t="shared" si="21"/>
        <v>0</v>
      </c>
      <c r="O70" s="478">
        <f t="shared" si="22"/>
        <v>0</v>
      </c>
      <c r="P70" s="242"/>
    </row>
    <row r="71" spans="2:16">
      <c r="B71" s="160" t="str">
        <f t="shared" si="23"/>
        <v/>
      </c>
      <c r="C71" s="472">
        <f>IF(D11="","-",+C70+1)</f>
        <v>2066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8"/>
        <v>0</v>
      </c>
      <c r="G71" s="488">
        <f t="shared" si="24"/>
        <v>0</v>
      </c>
      <c r="H71" s="455">
        <f t="shared" si="25"/>
        <v>0</v>
      </c>
      <c r="I71" s="475">
        <f t="shared" si="19"/>
        <v>0</v>
      </c>
      <c r="J71" s="475"/>
      <c r="K71" s="487"/>
      <c r="L71" s="478">
        <f t="shared" si="20"/>
        <v>0</v>
      </c>
      <c r="M71" s="487"/>
      <c r="N71" s="478">
        <f t="shared" si="21"/>
        <v>0</v>
      </c>
      <c r="O71" s="478">
        <f t="shared" si="22"/>
        <v>0</v>
      </c>
      <c r="P71" s="242"/>
    </row>
    <row r="72" spans="2:16" ht="13.5" thickBot="1">
      <c r="B72" s="160" t="str">
        <f t="shared" si="23"/>
        <v/>
      </c>
      <c r="C72" s="489">
        <f>IF(D11="","-",+C71+1)</f>
        <v>2067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8"/>
        <v>0</v>
      </c>
      <c r="G72" s="492">
        <f t="shared" si="24"/>
        <v>0</v>
      </c>
      <c r="H72" s="435">
        <f t="shared" si="25"/>
        <v>0</v>
      </c>
      <c r="I72" s="493">
        <f t="shared" si="19"/>
        <v>0</v>
      </c>
      <c r="J72" s="475"/>
      <c r="K72" s="494"/>
      <c r="L72" s="495">
        <f t="shared" si="20"/>
        <v>0</v>
      </c>
      <c r="M72" s="494"/>
      <c r="N72" s="495">
        <f t="shared" si="21"/>
        <v>0</v>
      </c>
      <c r="O72" s="495">
        <f t="shared" si="22"/>
        <v>0</v>
      </c>
      <c r="P72" s="242"/>
    </row>
    <row r="73" spans="2:16">
      <c r="C73" s="346" t="s">
        <v>77</v>
      </c>
      <c r="D73" s="347"/>
      <c r="E73" s="347">
        <f>SUM(E17:E72)</f>
        <v>3305767.1399999992</v>
      </c>
      <c r="F73" s="347"/>
      <c r="G73" s="347">
        <f>SUM(G17:G72)</f>
        <v>11654240.634324575</v>
      </c>
      <c r="H73" s="347">
        <f>SUM(H17:H72)</f>
        <v>11654240.634324575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12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381296.77932523622</v>
      </c>
      <c r="N87" s="508">
        <f>IF(J92&lt;D11,0,VLOOKUP(J92,C17:O72,11))</f>
        <v>381296.77932523622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396825.92685492127</v>
      </c>
      <c r="N88" s="512">
        <f>IF(J92&lt;D11,0,VLOOKUP(J92,C99:P154,7))</f>
        <v>396825.92685492127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Canadian River - McAlester City 138 kV Line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15529.147529685055</v>
      </c>
      <c r="N89" s="517">
        <f>+N88-N87</f>
        <v>15529.147529685055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TP2009095-PSO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3305767.14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8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78709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470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2012</v>
      </c>
      <c r="D99" s="578">
        <f>IF(D93=C99,0,D92)</f>
        <v>0</v>
      </c>
      <c r="E99" s="579">
        <v>1616</v>
      </c>
      <c r="F99" s="580">
        <v>502209</v>
      </c>
      <c r="G99" s="581">
        <v>251209</v>
      </c>
      <c r="H99" s="582">
        <v>37753</v>
      </c>
      <c r="I99" s="583">
        <v>37753</v>
      </c>
      <c r="J99" s="478">
        <f t="shared" ref="J99:J130" si="26">+I99-H99</f>
        <v>0</v>
      </c>
      <c r="K99" s="574"/>
      <c r="L99" s="567">
        <f t="shared" ref="L99:L104" si="27">H99</f>
        <v>37753</v>
      </c>
      <c r="M99" s="575">
        <f t="shared" ref="M99:M104" si="28">IF(L99&lt;&gt;0,+H99-L99,0)</f>
        <v>0</v>
      </c>
      <c r="N99" s="567">
        <f t="shared" ref="N99:N104" si="29">I99</f>
        <v>37753</v>
      </c>
      <c r="O99" s="348">
        <f t="shared" ref="O99:O104" si="30">IF(N99&lt;&gt;0,+I99-N99,0)</f>
        <v>0</v>
      </c>
      <c r="P99" s="477">
        <f t="shared" ref="P99:P104" si="31">+O99-M99</f>
        <v>0</v>
      </c>
    </row>
    <row r="100" spans="1:16">
      <c r="B100" s="160" t="str">
        <f t="shared" ref="B100:B131" si="32">IF(D100=F99,"","IU")</f>
        <v>IU</v>
      </c>
      <c r="C100" s="472">
        <f>IF(D93="","-",+C99+1)</f>
        <v>2013</v>
      </c>
      <c r="D100" s="584">
        <v>3240518</v>
      </c>
      <c r="E100" s="585">
        <v>62349</v>
      </c>
      <c r="F100" s="586">
        <v>3178169</v>
      </c>
      <c r="G100" s="586">
        <v>3209343.5</v>
      </c>
      <c r="H100" s="585">
        <v>524300.60020262119</v>
      </c>
      <c r="I100" s="587">
        <v>524300.60020262119</v>
      </c>
      <c r="J100" s="478">
        <v>0</v>
      </c>
      <c r="K100" s="574"/>
      <c r="L100" s="540">
        <f t="shared" si="27"/>
        <v>524300.60020262119</v>
      </c>
      <c r="M100" s="575">
        <f t="shared" si="28"/>
        <v>0</v>
      </c>
      <c r="N100" s="540">
        <f t="shared" si="29"/>
        <v>524300.60020262119</v>
      </c>
      <c r="O100" s="348">
        <f t="shared" si="30"/>
        <v>0</v>
      </c>
      <c r="P100" s="478">
        <f t="shared" si="31"/>
        <v>0</v>
      </c>
    </row>
    <row r="101" spans="1:16">
      <c r="B101" s="160" t="str">
        <f t="shared" si="32"/>
        <v>IU</v>
      </c>
      <c r="C101" s="472">
        <f>IF(D93="","-",+C100+1)</f>
        <v>2014</v>
      </c>
      <c r="D101" s="584">
        <v>3241802.14</v>
      </c>
      <c r="E101" s="585">
        <v>63572</v>
      </c>
      <c r="F101" s="586">
        <v>3178230.14</v>
      </c>
      <c r="G101" s="586">
        <v>3210016.14</v>
      </c>
      <c r="H101" s="585">
        <v>514887.14751698606</v>
      </c>
      <c r="I101" s="587">
        <v>514887.14751698606</v>
      </c>
      <c r="J101" s="478">
        <v>0</v>
      </c>
      <c r="K101" s="574"/>
      <c r="L101" s="540">
        <f t="shared" si="27"/>
        <v>514887.14751698606</v>
      </c>
      <c r="M101" s="575">
        <f t="shared" si="28"/>
        <v>0</v>
      </c>
      <c r="N101" s="540">
        <f t="shared" si="29"/>
        <v>514887.14751698606</v>
      </c>
      <c r="O101" s="348">
        <f t="shared" si="30"/>
        <v>0</v>
      </c>
      <c r="P101" s="478">
        <f t="shared" si="31"/>
        <v>0</v>
      </c>
    </row>
    <row r="102" spans="1:16">
      <c r="B102" s="160" t="str">
        <f t="shared" si="32"/>
        <v/>
      </c>
      <c r="C102" s="472">
        <f>IF(D93="","-",+C101+1)</f>
        <v>2015</v>
      </c>
      <c r="D102" s="584">
        <v>3178230.14</v>
      </c>
      <c r="E102" s="585">
        <v>63572</v>
      </c>
      <c r="F102" s="586">
        <v>3114658.14</v>
      </c>
      <c r="G102" s="586">
        <v>3146444.14</v>
      </c>
      <c r="H102" s="585">
        <v>492879.0042454137</v>
      </c>
      <c r="I102" s="587">
        <v>492879.0042454137</v>
      </c>
      <c r="J102" s="478">
        <f t="shared" si="26"/>
        <v>0</v>
      </c>
      <c r="K102" s="478"/>
      <c r="L102" s="540">
        <f t="shared" si="27"/>
        <v>492879.0042454137</v>
      </c>
      <c r="M102" s="575">
        <f t="shared" si="28"/>
        <v>0</v>
      </c>
      <c r="N102" s="540">
        <f t="shared" si="29"/>
        <v>492879.0042454137</v>
      </c>
      <c r="O102" s="348">
        <f t="shared" si="30"/>
        <v>0</v>
      </c>
      <c r="P102" s="478">
        <f t="shared" si="31"/>
        <v>0</v>
      </c>
    </row>
    <row r="103" spans="1:16">
      <c r="B103" s="160" t="str">
        <f t="shared" si="32"/>
        <v/>
      </c>
      <c r="C103" s="472">
        <f>IF(D93="","-",+C102+1)</f>
        <v>2016</v>
      </c>
      <c r="D103" s="584">
        <v>3114658.14</v>
      </c>
      <c r="E103" s="585">
        <v>71865</v>
      </c>
      <c r="F103" s="586">
        <v>3042793.14</v>
      </c>
      <c r="G103" s="586">
        <v>3078725.64</v>
      </c>
      <c r="H103" s="585">
        <v>468761.221459263</v>
      </c>
      <c r="I103" s="587">
        <v>468761.221459263</v>
      </c>
      <c r="J103" s="478">
        <f t="shared" si="26"/>
        <v>0</v>
      </c>
      <c r="K103" s="478"/>
      <c r="L103" s="540">
        <f t="shared" si="27"/>
        <v>468761.221459263</v>
      </c>
      <c r="M103" s="575">
        <f t="shared" si="28"/>
        <v>0</v>
      </c>
      <c r="N103" s="540">
        <f t="shared" si="29"/>
        <v>468761.221459263</v>
      </c>
      <c r="O103" s="348">
        <f t="shared" si="30"/>
        <v>0</v>
      </c>
      <c r="P103" s="478">
        <f t="shared" si="31"/>
        <v>0</v>
      </c>
    </row>
    <row r="104" spans="1:16">
      <c r="B104" s="160" t="str">
        <f t="shared" si="32"/>
        <v/>
      </c>
      <c r="C104" s="472">
        <f>IF(D93="","-",+C103+1)</f>
        <v>2017</v>
      </c>
      <c r="D104" s="584">
        <v>3042793.14</v>
      </c>
      <c r="E104" s="585">
        <v>71865</v>
      </c>
      <c r="F104" s="586">
        <v>2970928.14</v>
      </c>
      <c r="G104" s="586">
        <v>3006860.64</v>
      </c>
      <c r="H104" s="585">
        <v>453292.85398579738</v>
      </c>
      <c r="I104" s="587">
        <v>453292.85398579738</v>
      </c>
      <c r="J104" s="478">
        <f t="shared" si="26"/>
        <v>0</v>
      </c>
      <c r="K104" s="478"/>
      <c r="L104" s="540">
        <f t="shared" si="27"/>
        <v>453292.85398579738</v>
      </c>
      <c r="M104" s="575">
        <f t="shared" si="28"/>
        <v>0</v>
      </c>
      <c r="N104" s="540">
        <f t="shared" si="29"/>
        <v>453292.85398579738</v>
      </c>
      <c r="O104" s="348">
        <f t="shared" si="30"/>
        <v>0</v>
      </c>
      <c r="P104" s="478">
        <f t="shared" si="31"/>
        <v>0</v>
      </c>
    </row>
    <row r="105" spans="1:16">
      <c r="B105" s="160" t="str">
        <f t="shared" si="32"/>
        <v/>
      </c>
      <c r="C105" s="472">
        <f>IF(D93="","-",+C104+1)</f>
        <v>2018</v>
      </c>
      <c r="D105" s="584">
        <v>2970928.14</v>
      </c>
      <c r="E105" s="585">
        <v>76878</v>
      </c>
      <c r="F105" s="586">
        <v>2894050.14</v>
      </c>
      <c r="G105" s="586">
        <v>2932489.14</v>
      </c>
      <c r="H105" s="585">
        <v>378148.93401168124</v>
      </c>
      <c r="I105" s="587">
        <v>378148.93401168124</v>
      </c>
      <c r="J105" s="478">
        <f t="shared" si="26"/>
        <v>0</v>
      </c>
      <c r="K105" s="478"/>
      <c r="L105" s="540">
        <f t="shared" ref="L105" si="33">H105</f>
        <v>378148.93401168124</v>
      </c>
      <c r="M105" s="575">
        <f t="shared" ref="M105" si="34">IF(L105&lt;&gt;0,+H105-L105,0)</f>
        <v>0</v>
      </c>
      <c r="N105" s="540">
        <f t="shared" ref="N105" si="35">I105</f>
        <v>378148.93401168124</v>
      </c>
      <c r="O105" s="348">
        <f t="shared" ref="O105" si="36">IF(N105&lt;&gt;0,+I105-N105,0)</f>
        <v>0</v>
      </c>
      <c r="P105" s="478">
        <f t="shared" ref="P105" si="37">+O105-M105</f>
        <v>0</v>
      </c>
    </row>
    <row r="106" spans="1:16">
      <c r="B106" s="160" t="str">
        <f t="shared" si="32"/>
        <v/>
      </c>
      <c r="C106" s="472">
        <f>IF(D93="","-",+C105+1)</f>
        <v>2019</v>
      </c>
      <c r="D106" s="584">
        <v>2894050.14</v>
      </c>
      <c r="E106" s="585">
        <v>80628</v>
      </c>
      <c r="F106" s="586">
        <v>2813422.14</v>
      </c>
      <c r="G106" s="586">
        <v>2853736.14</v>
      </c>
      <c r="H106" s="585">
        <v>374888.22276719729</v>
      </c>
      <c r="I106" s="587">
        <v>374888.22276719729</v>
      </c>
      <c r="J106" s="478">
        <f t="shared" si="26"/>
        <v>0</v>
      </c>
      <c r="K106" s="478"/>
      <c r="L106" s="540">
        <f t="shared" ref="L106:L107" si="38">H106</f>
        <v>374888.22276719729</v>
      </c>
      <c r="M106" s="575">
        <f t="shared" ref="M106:M107" si="39">IF(L106&lt;&gt;0,+H106-L106,0)</f>
        <v>0</v>
      </c>
      <c r="N106" s="540">
        <f t="shared" ref="N106:N107" si="40">I106</f>
        <v>374888.22276719729</v>
      </c>
      <c r="O106" s="478">
        <f t="shared" ref="O106:O130" si="41">IF(N106&lt;&gt;0,+I106-N106,0)</f>
        <v>0</v>
      </c>
      <c r="P106" s="478">
        <f t="shared" ref="P106:P130" si="42">+O106-M106</f>
        <v>0</v>
      </c>
    </row>
    <row r="107" spans="1:16">
      <c r="B107" s="160" t="str">
        <f t="shared" si="32"/>
        <v/>
      </c>
      <c r="C107" s="472">
        <f>IF(D93="","-",+C106+1)</f>
        <v>2020</v>
      </c>
      <c r="D107" s="584">
        <v>2813422.14</v>
      </c>
      <c r="E107" s="585">
        <v>76878</v>
      </c>
      <c r="F107" s="586">
        <v>2736544.14</v>
      </c>
      <c r="G107" s="586">
        <v>2774983.14</v>
      </c>
      <c r="H107" s="585">
        <v>396825.92685492127</v>
      </c>
      <c r="I107" s="587">
        <v>396825.92685492127</v>
      </c>
      <c r="J107" s="478">
        <f t="shared" si="26"/>
        <v>0</v>
      </c>
      <c r="K107" s="478"/>
      <c r="L107" s="540">
        <f t="shared" si="38"/>
        <v>396825.92685492127</v>
      </c>
      <c r="M107" s="575">
        <f t="shared" si="39"/>
        <v>0</v>
      </c>
      <c r="N107" s="540">
        <f t="shared" si="40"/>
        <v>396825.92685492127</v>
      </c>
      <c r="O107" s="478">
        <f t="shared" si="41"/>
        <v>0</v>
      </c>
      <c r="P107" s="478">
        <f t="shared" si="42"/>
        <v>0</v>
      </c>
    </row>
    <row r="108" spans="1:16">
      <c r="B108" s="160" t="str">
        <f t="shared" si="32"/>
        <v/>
      </c>
      <c r="C108" s="472">
        <f>IF(D93="","-",+C107+1)</f>
        <v>2021</v>
      </c>
      <c r="D108" s="346">
        <f>IF(F107+SUM(E$99:E107)=D$92,F107,D$92-SUM(E$99:E107))</f>
        <v>2736544.14</v>
      </c>
      <c r="E108" s="486">
        <f t="shared" ref="E108:E154" si="43">IF(+J$96&lt;F107,J$96,D108)</f>
        <v>78709</v>
      </c>
      <c r="F108" s="485">
        <f t="shared" ref="F108:F154" si="44">+D108-E108</f>
        <v>2657835.14</v>
      </c>
      <c r="G108" s="485">
        <f t="shared" ref="G108:G154" si="45">+(F108+D108)/2</f>
        <v>2697189.64</v>
      </c>
      <c r="H108" s="488">
        <f t="shared" ref="H108:H130" si="46">+J$94*G108+E108</f>
        <v>369496.37526681309</v>
      </c>
      <c r="I108" s="542">
        <f t="shared" ref="I108:I130" si="47">+J$95*G108+E108</f>
        <v>369496.37526681309</v>
      </c>
      <c r="J108" s="478">
        <f t="shared" si="26"/>
        <v>0</v>
      </c>
      <c r="K108" s="478"/>
      <c r="L108" s="487"/>
      <c r="M108" s="478">
        <f t="shared" ref="M108:M130" si="48">IF(L108&lt;&gt;0,+H108-L108,0)</f>
        <v>0</v>
      </c>
      <c r="N108" s="487"/>
      <c r="O108" s="478">
        <f t="shared" si="41"/>
        <v>0</v>
      </c>
      <c r="P108" s="478">
        <f t="shared" si="42"/>
        <v>0</v>
      </c>
    </row>
    <row r="109" spans="1:16">
      <c r="B109" s="160" t="str">
        <f t="shared" si="32"/>
        <v/>
      </c>
      <c r="C109" s="472">
        <f>IF(D93="","-",+C108+1)</f>
        <v>2022</v>
      </c>
      <c r="D109" s="346">
        <f>IF(F108+SUM(E$99:E108)=D$92,F108,D$92-SUM(E$99:E108))</f>
        <v>2657835.14</v>
      </c>
      <c r="E109" s="486">
        <f t="shared" si="43"/>
        <v>78709</v>
      </c>
      <c r="F109" s="485">
        <f t="shared" si="44"/>
        <v>2579126.14</v>
      </c>
      <c r="G109" s="485">
        <f t="shared" si="45"/>
        <v>2618480.6400000001</v>
      </c>
      <c r="H109" s="488">
        <f t="shared" si="46"/>
        <v>361010.65992057009</v>
      </c>
      <c r="I109" s="542">
        <f t="shared" si="47"/>
        <v>361010.65992057009</v>
      </c>
      <c r="J109" s="478">
        <f t="shared" si="26"/>
        <v>0</v>
      </c>
      <c r="K109" s="478"/>
      <c r="L109" s="487"/>
      <c r="M109" s="478">
        <f t="shared" si="48"/>
        <v>0</v>
      </c>
      <c r="N109" s="487"/>
      <c r="O109" s="478">
        <f t="shared" si="41"/>
        <v>0</v>
      </c>
      <c r="P109" s="478">
        <f t="shared" si="42"/>
        <v>0</v>
      </c>
    </row>
    <row r="110" spans="1:16">
      <c r="B110" s="160" t="str">
        <f t="shared" si="32"/>
        <v/>
      </c>
      <c r="C110" s="472">
        <f>IF(D93="","-",+C109+1)</f>
        <v>2023</v>
      </c>
      <c r="D110" s="346">
        <f>IF(F109+SUM(E$99:E109)=D$92,F109,D$92-SUM(E$99:E109))</f>
        <v>2579126.14</v>
      </c>
      <c r="E110" s="486">
        <f t="shared" si="43"/>
        <v>78709</v>
      </c>
      <c r="F110" s="485">
        <f t="shared" si="44"/>
        <v>2500417.14</v>
      </c>
      <c r="G110" s="485">
        <f t="shared" si="45"/>
        <v>2539771.64</v>
      </c>
      <c r="H110" s="488">
        <f t="shared" si="46"/>
        <v>352524.94457432709</v>
      </c>
      <c r="I110" s="542">
        <f t="shared" si="47"/>
        <v>352524.94457432709</v>
      </c>
      <c r="J110" s="478">
        <f t="shared" si="26"/>
        <v>0</v>
      </c>
      <c r="K110" s="478"/>
      <c r="L110" s="487"/>
      <c r="M110" s="478">
        <f t="shared" si="48"/>
        <v>0</v>
      </c>
      <c r="N110" s="487"/>
      <c r="O110" s="478">
        <f t="shared" si="41"/>
        <v>0</v>
      </c>
      <c r="P110" s="478">
        <f t="shared" si="42"/>
        <v>0</v>
      </c>
    </row>
    <row r="111" spans="1:16">
      <c r="B111" s="160" t="str">
        <f t="shared" si="32"/>
        <v/>
      </c>
      <c r="C111" s="472">
        <f>IF(D93="","-",+C110+1)</f>
        <v>2024</v>
      </c>
      <c r="D111" s="346">
        <f>IF(F110+SUM(E$99:E110)=D$92,F110,D$92-SUM(E$99:E110))</f>
        <v>2500417.14</v>
      </c>
      <c r="E111" s="486">
        <f t="shared" si="43"/>
        <v>78709</v>
      </c>
      <c r="F111" s="485">
        <f t="shared" si="44"/>
        <v>2421708.14</v>
      </c>
      <c r="G111" s="485">
        <f t="shared" si="45"/>
        <v>2461062.64</v>
      </c>
      <c r="H111" s="488">
        <f t="shared" si="46"/>
        <v>344039.22922808409</v>
      </c>
      <c r="I111" s="542">
        <f t="shared" si="47"/>
        <v>344039.22922808409</v>
      </c>
      <c r="J111" s="478">
        <f t="shared" si="26"/>
        <v>0</v>
      </c>
      <c r="K111" s="478"/>
      <c r="L111" s="487"/>
      <c r="M111" s="478">
        <f t="shared" si="48"/>
        <v>0</v>
      </c>
      <c r="N111" s="487"/>
      <c r="O111" s="478">
        <f t="shared" si="41"/>
        <v>0</v>
      </c>
      <c r="P111" s="478">
        <f t="shared" si="42"/>
        <v>0</v>
      </c>
    </row>
    <row r="112" spans="1:16">
      <c r="B112" s="160" t="str">
        <f t="shared" si="32"/>
        <v/>
      </c>
      <c r="C112" s="472">
        <f>IF(D93="","-",+C111+1)</f>
        <v>2025</v>
      </c>
      <c r="D112" s="346">
        <f>IF(F111+SUM(E$99:E111)=D$92,F111,D$92-SUM(E$99:E111))</f>
        <v>2421708.14</v>
      </c>
      <c r="E112" s="486">
        <f t="shared" si="43"/>
        <v>78709</v>
      </c>
      <c r="F112" s="485">
        <f t="shared" si="44"/>
        <v>2342999.14</v>
      </c>
      <c r="G112" s="485">
        <f t="shared" si="45"/>
        <v>2382353.64</v>
      </c>
      <c r="H112" s="488">
        <f t="shared" si="46"/>
        <v>335553.51388184109</v>
      </c>
      <c r="I112" s="542">
        <f t="shared" si="47"/>
        <v>335553.51388184109</v>
      </c>
      <c r="J112" s="478">
        <f t="shared" si="26"/>
        <v>0</v>
      </c>
      <c r="K112" s="478"/>
      <c r="L112" s="487"/>
      <c r="M112" s="478">
        <f t="shared" si="48"/>
        <v>0</v>
      </c>
      <c r="N112" s="487"/>
      <c r="O112" s="478">
        <f t="shared" si="41"/>
        <v>0</v>
      </c>
      <c r="P112" s="478">
        <f t="shared" si="42"/>
        <v>0</v>
      </c>
    </row>
    <row r="113" spans="2:16">
      <c r="B113" s="160" t="str">
        <f t="shared" si="32"/>
        <v/>
      </c>
      <c r="C113" s="472">
        <f>IF(D93="","-",+C112+1)</f>
        <v>2026</v>
      </c>
      <c r="D113" s="346">
        <f>IF(F112+SUM(E$99:E112)=D$92,F112,D$92-SUM(E$99:E112))</f>
        <v>2342999.14</v>
      </c>
      <c r="E113" s="486">
        <f t="shared" si="43"/>
        <v>78709</v>
      </c>
      <c r="F113" s="485">
        <f t="shared" si="44"/>
        <v>2264290.14</v>
      </c>
      <c r="G113" s="485">
        <f t="shared" si="45"/>
        <v>2303644.64</v>
      </c>
      <c r="H113" s="488">
        <f t="shared" si="46"/>
        <v>327067.79853559815</v>
      </c>
      <c r="I113" s="542">
        <f t="shared" si="47"/>
        <v>327067.79853559815</v>
      </c>
      <c r="J113" s="478">
        <f t="shared" si="26"/>
        <v>0</v>
      </c>
      <c r="K113" s="478"/>
      <c r="L113" s="487"/>
      <c r="M113" s="478">
        <f t="shared" si="48"/>
        <v>0</v>
      </c>
      <c r="N113" s="487"/>
      <c r="O113" s="478">
        <f t="shared" si="41"/>
        <v>0</v>
      </c>
      <c r="P113" s="478">
        <f t="shared" si="42"/>
        <v>0</v>
      </c>
    </row>
    <row r="114" spans="2:16">
      <c r="B114" s="160" t="str">
        <f t="shared" si="32"/>
        <v/>
      </c>
      <c r="C114" s="472">
        <f>IF(D93="","-",+C113+1)</f>
        <v>2027</v>
      </c>
      <c r="D114" s="346">
        <f>IF(F113+SUM(E$99:E113)=D$92,F113,D$92-SUM(E$99:E113))</f>
        <v>2264290.14</v>
      </c>
      <c r="E114" s="486">
        <f t="shared" si="43"/>
        <v>78709</v>
      </c>
      <c r="F114" s="485">
        <f t="shared" si="44"/>
        <v>2185581.14</v>
      </c>
      <c r="G114" s="485">
        <f t="shared" si="45"/>
        <v>2224935.64</v>
      </c>
      <c r="H114" s="488">
        <f t="shared" si="46"/>
        <v>318582.08318935515</v>
      </c>
      <c r="I114" s="542">
        <f t="shared" si="47"/>
        <v>318582.08318935515</v>
      </c>
      <c r="J114" s="478">
        <f t="shared" si="26"/>
        <v>0</v>
      </c>
      <c r="K114" s="478"/>
      <c r="L114" s="487"/>
      <c r="M114" s="478">
        <f t="shared" si="48"/>
        <v>0</v>
      </c>
      <c r="N114" s="487"/>
      <c r="O114" s="478">
        <f t="shared" si="41"/>
        <v>0</v>
      </c>
      <c r="P114" s="478">
        <f t="shared" si="42"/>
        <v>0</v>
      </c>
    </row>
    <row r="115" spans="2:16">
      <c r="B115" s="160" t="str">
        <f t="shared" si="32"/>
        <v/>
      </c>
      <c r="C115" s="472">
        <f>IF(D93="","-",+C114+1)</f>
        <v>2028</v>
      </c>
      <c r="D115" s="346">
        <f>IF(F114+SUM(E$99:E114)=D$92,F114,D$92-SUM(E$99:E114))</f>
        <v>2185581.14</v>
      </c>
      <c r="E115" s="486">
        <f t="shared" si="43"/>
        <v>78709</v>
      </c>
      <c r="F115" s="485">
        <f t="shared" si="44"/>
        <v>2106872.14</v>
      </c>
      <c r="G115" s="485">
        <f t="shared" si="45"/>
        <v>2146226.64</v>
      </c>
      <c r="H115" s="488">
        <f t="shared" si="46"/>
        <v>310096.36784311221</v>
      </c>
      <c r="I115" s="542">
        <f t="shared" si="47"/>
        <v>310096.36784311221</v>
      </c>
      <c r="J115" s="478">
        <f t="shared" si="26"/>
        <v>0</v>
      </c>
      <c r="K115" s="478"/>
      <c r="L115" s="487"/>
      <c r="M115" s="478">
        <f t="shared" si="48"/>
        <v>0</v>
      </c>
      <c r="N115" s="487"/>
      <c r="O115" s="478">
        <f t="shared" si="41"/>
        <v>0</v>
      </c>
      <c r="P115" s="478">
        <f t="shared" si="42"/>
        <v>0</v>
      </c>
    </row>
    <row r="116" spans="2:16">
      <c r="B116" s="160" t="str">
        <f t="shared" si="32"/>
        <v/>
      </c>
      <c r="C116" s="472">
        <f>IF(D93="","-",+C115+1)</f>
        <v>2029</v>
      </c>
      <c r="D116" s="346">
        <f>IF(F115+SUM(E$99:E115)=D$92,F115,D$92-SUM(E$99:E115))</f>
        <v>2106872.14</v>
      </c>
      <c r="E116" s="486">
        <f t="shared" si="43"/>
        <v>78709</v>
      </c>
      <c r="F116" s="485">
        <f t="shared" si="44"/>
        <v>2028163.1400000001</v>
      </c>
      <c r="G116" s="485">
        <f t="shared" si="45"/>
        <v>2067517.6400000001</v>
      </c>
      <c r="H116" s="488">
        <f t="shared" si="46"/>
        <v>301610.65249686921</v>
      </c>
      <c r="I116" s="542">
        <f t="shared" si="47"/>
        <v>301610.65249686921</v>
      </c>
      <c r="J116" s="478">
        <f t="shared" si="26"/>
        <v>0</v>
      </c>
      <c r="K116" s="478"/>
      <c r="L116" s="487"/>
      <c r="M116" s="478">
        <f t="shared" si="48"/>
        <v>0</v>
      </c>
      <c r="N116" s="487"/>
      <c r="O116" s="478">
        <f t="shared" si="41"/>
        <v>0</v>
      </c>
      <c r="P116" s="478">
        <f t="shared" si="42"/>
        <v>0</v>
      </c>
    </row>
    <row r="117" spans="2:16">
      <c r="B117" s="160" t="str">
        <f t="shared" si="32"/>
        <v/>
      </c>
      <c r="C117" s="472">
        <f>IF(D93="","-",+C116+1)</f>
        <v>2030</v>
      </c>
      <c r="D117" s="346">
        <f>IF(F116+SUM(E$99:E116)=D$92,F116,D$92-SUM(E$99:E116))</f>
        <v>2028163.1400000001</v>
      </c>
      <c r="E117" s="486">
        <f t="shared" si="43"/>
        <v>78709</v>
      </c>
      <c r="F117" s="485">
        <f t="shared" si="44"/>
        <v>1949454.1400000001</v>
      </c>
      <c r="G117" s="485">
        <f t="shared" si="45"/>
        <v>1988808.6400000001</v>
      </c>
      <c r="H117" s="488">
        <f t="shared" si="46"/>
        <v>293124.93715062621</v>
      </c>
      <c r="I117" s="542">
        <f t="shared" si="47"/>
        <v>293124.93715062621</v>
      </c>
      <c r="J117" s="478">
        <f t="shared" si="26"/>
        <v>0</v>
      </c>
      <c r="K117" s="478"/>
      <c r="L117" s="487"/>
      <c r="M117" s="478">
        <f t="shared" si="48"/>
        <v>0</v>
      </c>
      <c r="N117" s="487"/>
      <c r="O117" s="478">
        <f t="shared" si="41"/>
        <v>0</v>
      </c>
      <c r="P117" s="478">
        <f t="shared" si="42"/>
        <v>0</v>
      </c>
    </row>
    <row r="118" spans="2:16">
      <c r="B118" s="160" t="str">
        <f t="shared" si="32"/>
        <v/>
      </c>
      <c r="C118" s="472">
        <f>IF(D93="","-",+C117+1)</f>
        <v>2031</v>
      </c>
      <c r="D118" s="346">
        <f>IF(F117+SUM(E$99:E117)=D$92,F117,D$92-SUM(E$99:E117))</f>
        <v>1949454.1400000001</v>
      </c>
      <c r="E118" s="486">
        <f t="shared" si="43"/>
        <v>78709</v>
      </c>
      <c r="F118" s="485">
        <f t="shared" si="44"/>
        <v>1870745.1400000001</v>
      </c>
      <c r="G118" s="485">
        <f t="shared" si="45"/>
        <v>1910099.6400000001</v>
      </c>
      <c r="H118" s="488">
        <f t="shared" si="46"/>
        <v>284639.22180438321</v>
      </c>
      <c r="I118" s="542">
        <f t="shared" si="47"/>
        <v>284639.22180438321</v>
      </c>
      <c r="J118" s="478">
        <f t="shared" si="26"/>
        <v>0</v>
      </c>
      <c r="K118" s="478"/>
      <c r="L118" s="487"/>
      <c r="M118" s="478">
        <f t="shared" si="48"/>
        <v>0</v>
      </c>
      <c r="N118" s="487"/>
      <c r="O118" s="478">
        <f t="shared" si="41"/>
        <v>0</v>
      </c>
      <c r="P118" s="478">
        <f t="shared" si="42"/>
        <v>0</v>
      </c>
    </row>
    <row r="119" spans="2:16">
      <c r="B119" s="160" t="str">
        <f t="shared" si="32"/>
        <v/>
      </c>
      <c r="C119" s="472">
        <f>IF(D93="","-",+C118+1)</f>
        <v>2032</v>
      </c>
      <c r="D119" s="346">
        <f>IF(F118+SUM(E$99:E118)=D$92,F118,D$92-SUM(E$99:E118))</f>
        <v>1870745.1400000001</v>
      </c>
      <c r="E119" s="486">
        <f t="shared" si="43"/>
        <v>78709</v>
      </c>
      <c r="F119" s="485">
        <f t="shared" si="44"/>
        <v>1792036.1400000001</v>
      </c>
      <c r="G119" s="485">
        <f t="shared" si="45"/>
        <v>1831390.6400000001</v>
      </c>
      <c r="H119" s="488">
        <f t="shared" si="46"/>
        <v>276153.50645814021</v>
      </c>
      <c r="I119" s="542">
        <f t="shared" si="47"/>
        <v>276153.50645814021</v>
      </c>
      <c r="J119" s="478">
        <f t="shared" si="26"/>
        <v>0</v>
      </c>
      <c r="K119" s="478"/>
      <c r="L119" s="487"/>
      <c r="M119" s="478">
        <f t="shared" si="48"/>
        <v>0</v>
      </c>
      <c r="N119" s="487"/>
      <c r="O119" s="478">
        <f t="shared" si="41"/>
        <v>0</v>
      </c>
      <c r="P119" s="478">
        <f t="shared" si="42"/>
        <v>0</v>
      </c>
    </row>
    <row r="120" spans="2:16">
      <c r="B120" s="160" t="str">
        <f t="shared" si="32"/>
        <v/>
      </c>
      <c r="C120" s="472">
        <f>IF(D93="","-",+C119+1)</f>
        <v>2033</v>
      </c>
      <c r="D120" s="346">
        <f>IF(F119+SUM(E$99:E119)=D$92,F119,D$92-SUM(E$99:E119))</f>
        <v>1792036.1400000001</v>
      </c>
      <c r="E120" s="486">
        <f t="shared" si="43"/>
        <v>78709</v>
      </c>
      <c r="F120" s="485">
        <f t="shared" si="44"/>
        <v>1713327.1400000001</v>
      </c>
      <c r="G120" s="485">
        <f t="shared" si="45"/>
        <v>1752681.6400000001</v>
      </c>
      <c r="H120" s="488">
        <f t="shared" si="46"/>
        <v>267667.79111189727</v>
      </c>
      <c r="I120" s="542">
        <f t="shared" si="47"/>
        <v>267667.79111189727</v>
      </c>
      <c r="J120" s="478">
        <f t="shared" si="26"/>
        <v>0</v>
      </c>
      <c r="K120" s="478"/>
      <c r="L120" s="487"/>
      <c r="M120" s="478">
        <f t="shared" si="48"/>
        <v>0</v>
      </c>
      <c r="N120" s="487"/>
      <c r="O120" s="478">
        <f t="shared" si="41"/>
        <v>0</v>
      </c>
      <c r="P120" s="478">
        <f t="shared" si="42"/>
        <v>0</v>
      </c>
    </row>
    <row r="121" spans="2:16">
      <c r="B121" s="160" t="str">
        <f t="shared" si="32"/>
        <v/>
      </c>
      <c r="C121" s="472">
        <f>IF(D93="","-",+C120+1)</f>
        <v>2034</v>
      </c>
      <c r="D121" s="346">
        <f>IF(F120+SUM(E$99:E120)=D$92,F120,D$92-SUM(E$99:E120))</f>
        <v>1713327.1400000001</v>
      </c>
      <c r="E121" s="486">
        <f t="shared" si="43"/>
        <v>78709</v>
      </c>
      <c r="F121" s="485">
        <f t="shared" si="44"/>
        <v>1634618.1400000001</v>
      </c>
      <c r="G121" s="485">
        <f t="shared" si="45"/>
        <v>1673972.6400000001</v>
      </c>
      <c r="H121" s="488">
        <f t="shared" si="46"/>
        <v>259182.07576565427</v>
      </c>
      <c r="I121" s="542">
        <f t="shared" si="47"/>
        <v>259182.07576565427</v>
      </c>
      <c r="J121" s="478">
        <f t="shared" si="26"/>
        <v>0</v>
      </c>
      <c r="K121" s="478"/>
      <c r="L121" s="487"/>
      <c r="M121" s="478">
        <f t="shared" si="48"/>
        <v>0</v>
      </c>
      <c r="N121" s="487"/>
      <c r="O121" s="478">
        <f t="shared" si="41"/>
        <v>0</v>
      </c>
      <c r="P121" s="478">
        <f t="shared" si="42"/>
        <v>0</v>
      </c>
    </row>
    <row r="122" spans="2:16">
      <c r="B122" s="160" t="str">
        <f t="shared" si="32"/>
        <v/>
      </c>
      <c r="C122" s="472">
        <f>IF(D93="","-",+C121+1)</f>
        <v>2035</v>
      </c>
      <c r="D122" s="346">
        <f>IF(F121+SUM(E$99:E121)=D$92,F121,D$92-SUM(E$99:E121))</f>
        <v>1634618.1400000001</v>
      </c>
      <c r="E122" s="486">
        <f t="shared" si="43"/>
        <v>78709</v>
      </c>
      <c r="F122" s="485">
        <f t="shared" si="44"/>
        <v>1555909.1400000001</v>
      </c>
      <c r="G122" s="485">
        <f t="shared" si="45"/>
        <v>1595263.6400000001</v>
      </c>
      <c r="H122" s="488">
        <f t="shared" si="46"/>
        <v>250696.3604194113</v>
      </c>
      <c r="I122" s="542">
        <f t="shared" si="47"/>
        <v>250696.3604194113</v>
      </c>
      <c r="J122" s="478">
        <f t="shared" si="26"/>
        <v>0</v>
      </c>
      <c r="K122" s="478"/>
      <c r="L122" s="487"/>
      <c r="M122" s="478">
        <f t="shared" si="48"/>
        <v>0</v>
      </c>
      <c r="N122" s="487"/>
      <c r="O122" s="478">
        <f t="shared" si="41"/>
        <v>0</v>
      </c>
      <c r="P122" s="478">
        <f t="shared" si="42"/>
        <v>0</v>
      </c>
    </row>
    <row r="123" spans="2:16">
      <c r="B123" s="160" t="str">
        <f t="shared" si="32"/>
        <v/>
      </c>
      <c r="C123" s="472">
        <f>IF(D93="","-",+C122+1)</f>
        <v>2036</v>
      </c>
      <c r="D123" s="346">
        <f>IF(F122+SUM(E$99:E122)=D$92,F122,D$92-SUM(E$99:E122))</f>
        <v>1555909.1400000001</v>
      </c>
      <c r="E123" s="486">
        <f t="shared" si="43"/>
        <v>78709</v>
      </c>
      <c r="F123" s="485">
        <f t="shared" si="44"/>
        <v>1477200.1400000001</v>
      </c>
      <c r="G123" s="485">
        <f t="shared" si="45"/>
        <v>1516554.6400000001</v>
      </c>
      <c r="H123" s="488">
        <f t="shared" si="46"/>
        <v>242210.6450731683</v>
      </c>
      <c r="I123" s="542">
        <f t="shared" si="47"/>
        <v>242210.6450731683</v>
      </c>
      <c r="J123" s="478">
        <f t="shared" si="26"/>
        <v>0</v>
      </c>
      <c r="K123" s="478"/>
      <c r="L123" s="487"/>
      <c r="M123" s="478">
        <f t="shared" si="48"/>
        <v>0</v>
      </c>
      <c r="N123" s="487"/>
      <c r="O123" s="478">
        <f t="shared" si="41"/>
        <v>0</v>
      </c>
      <c r="P123" s="478">
        <f t="shared" si="42"/>
        <v>0</v>
      </c>
    </row>
    <row r="124" spans="2:16">
      <c r="B124" s="160" t="str">
        <f t="shared" si="32"/>
        <v/>
      </c>
      <c r="C124" s="472">
        <f>IF(D93="","-",+C123+1)</f>
        <v>2037</v>
      </c>
      <c r="D124" s="346">
        <f>IF(F123+SUM(E$99:E123)=D$92,F123,D$92-SUM(E$99:E123))</f>
        <v>1477200.1400000001</v>
      </c>
      <c r="E124" s="486">
        <f t="shared" si="43"/>
        <v>78709</v>
      </c>
      <c r="F124" s="485">
        <f t="shared" si="44"/>
        <v>1398491.1400000001</v>
      </c>
      <c r="G124" s="485">
        <f t="shared" si="45"/>
        <v>1437845.6400000001</v>
      </c>
      <c r="H124" s="488">
        <f t="shared" si="46"/>
        <v>233724.92972692533</v>
      </c>
      <c r="I124" s="542">
        <f t="shared" si="47"/>
        <v>233724.92972692533</v>
      </c>
      <c r="J124" s="478">
        <f t="shared" si="26"/>
        <v>0</v>
      </c>
      <c r="K124" s="478"/>
      <c r="L124" s="487"/>
      <c r="M124" s="478">
        <f t="shared" si="48"/>
        <v>0</v>
      </c>
      <c r="N124" s="487"/>
      <c r="O124" s="478">
        <f t="shared" si="41"/>
        <v>0</v>
      </c>
      <c r="P124" s="478">
        <f t="shared" si="42"/>
        <v>0</v>
      </c>
    </row>
    <row r="125" spans="2:16">
      <c r="B125" s="160" t="str">
        <f t="shared" si="32"/>
        <v/>
      </c>
      <c r="C125" s="472">
        <f>IF(D93="","-",+C124+1)</f>
        <v>2038</v>
      </c>
      <c r="D125" s="346">
        <f>IF(F124+SUM(E$99:E124)=D$92,F124,D$92-SUM(E$99:E124))</f>
        <v>1398491.1400000001</v>
      </c>
      <c r="E125" s="486">
        <f t="shared" si="43"/>
        <v>78709</v>
      </c>
      <c r="F125" s="485">
        <f t="shared" si="44"/>
        <v>1319782.1400000001</v>
      </c>
      <c r="G125" s="485">
        <f t="shared" si="45"/>
        <v>1359136.6400000001</v>
      </c>
      <c r="H125" s="488">
        <f t="shared" si="46"/>
        <v>225239.21438068233</v>
      </c>
      <c r="I125" s="542">
        <f t="shared" si="47"/>
        <v>225239.21438068233</v>
      </c>
      <c r="J125" s="478">
        <f t="shared" si="26"/>
        <v>0</v>
      </c>
      <c r="K125" s="478"/>
      <c r="L125" s="487"/>
      <c r="M125" s="478">
        <f t="shared" si="48"/>
        <v>0</v>
      </c>
      <c r="N125" s="487"/>
      <c r="O125" s="478">
        <f t="shared" si="41"/>
        <v>0</v>
      </c>
      <c r="P125" s="478">
        <f t="shared" si="42"/>
        <v>0</v>
      </c>
    </row>
    <row r="126" spans="2:16">
      <c r="B126" s="160" t="str">
        <f t="shared" si="32"/>
        <v/>
      </c>
      <c r="C126" s="472">
        <f>IF(D93="","-",+C125+1)</f>
        <v>2039</v>
      </c>
      <c r="D126" s="346">
        <f>IF(F125+SUM(E$99:E125)=D$92,F125,D$92-SUM(E$99:E125))</f>
        <v>1319782.1400000001</v>
      </c>
      <c r="E126" s="486">
        <f t="shared" si="43"/>
        <v>78709</v>
      </c>
      <c r="F126" s="485">
        <f t="shared" si="44"/>
        <v>1241073.1400000001</v>
      </c>
      <c r="G126" s="485">
        <f t="shared" si="45"/>
        <v>1280427.6400000001</v>
      </c>
      <c r="H126" s="488">
        <f t="shared" si="46"/>
        <v>216753.49903443936</v>
      </c>
      <c r="I126" s="542">
        <f t="shared" si="47"/>
        <v>216753.49903443936</v>
      </c>
      <c r="J126" s="478">
        <f t="shared" si="26"/>
        <v>0</v>
      </c>
      <c r="K126" s="478"/>
      <c r="L126" s="487"/>
      <c r="M126" s="478">
        <f t="shared" si="48"/>
        <v>0</v>
      </c>
      <c r="N126" s="487"/>
      <c r="O126" s="478">
        <f t="shared" si="41"/>
        <v>0</v>
      </c>
      <c r="P126" s="478">
        <f t="shared" si="42"/>
        <v>0</v>
      </c>
    </row>
    <row r="127" spans="2:16">
      <c r="B127" s="160" t="str">
        <f t="shared" si="32"/>
        <v/>
      </c>
      <c r="C127" s="472">
        <f>IF(D93="","-",+C126+1)</f>
        <v>2040</v>
      </c>
      <c r="D127" s="346">
        <f>IF(F126+SUM(E$99:E126)=D$92,F126,D$92-SUM(E$99:E126))</f>
        <v>1241073.1400000001</v>
      </c>
      <c r="E127" s="486">
        <f t="shared" si="43"/>
        <v>78709</v>
      </c>
      <c r="F127" s="485">
        <f t="shared" si="44"/>
        <v>1162364.1400000001</v>
      </c>
      <c r="G127" s="485">
        <f t="shared" si="45"/>
        <v>1201718.6400000001</v>
      </c>
      <c r="H127" s="488">
        <f t="shared" si="46"/>
        <v>208267.78368819639</v>
      </c>
      <c r="I127" s="542">
        <f t="shared" si="47"/>
        <v>208267.78368819639</v>
      </c>
      <c r="J127" s="478">
        <f t="shared" si="26"/>
        <v>0</v>
      </c>
      <c r="K127" s="478"/>
      <c r="L127" s="487"/>
      <c r="M127" s="478">
        <f t="shared" si="48"/>
        <v>0</v>
      </c>
      <c r="N127" s="487"/>
      <c r="O127" s="478">
        <f t="shared" si="41"/>
        <v>0</v>
      </c>
      <c r="P127" s="478">
        <f t="shared" si="42"/>
        <v>0</v>
      </c>
    </row>
    <row r="128" spans="2:16">
      <c r="B128" s="160" t="str">
        <f t="shared" si="32"/>
        <v/>
      </c>
      <c r="C128" s="472">
        <f>IF(D93="","-",+C127+1)</f>
        <v>2041</v>
      </c>
      <c r="D128" s="346">
        <f>IF(F127+SUM(E$99:E127)=D$92,F127,D$92-SUM(E$99:E127))</f>
        <v>1162364.1400000001</v>
      </c>
      <c r="E128" s="486">
        <f t="shared" si="43"/>
        <v>78709</v>
      </c>
      <c r="F128" s="485">
        <f t="shared" si="44"/>
        <v>1083655.1400000001</v>
      </c>
      <c r="G128" s="485">
        <f t="shared" si="45"/>
        <v>1123009.6400000001</v>
      </c>
      <c r="H128" s="488">
        <f t="shared" si="46"/>
        <v>199782.06834195339</v>
      </c>
      <c r="I128" s="542">
        <f t="shared" si="47"/>
        <v>199782.06834195339</v>
      </c>
      <c r="J128" s="478">
        <f t="shared" si="26"/>
        <v>0</v>
      </c>
      <c r="K128" s="478"/>
      <c r="L128" s="487"/>
      <c r="M128" s="478">
        <f t="shared" si="48"/>
        <v>0</v>
      </c>
      <c r="N128" s="487"/>
      <c r="O128" s="478">
        <f t="shared" si="41"/>
        <v>0</v>
      </c>
      <c r="P128" s="478">
        <f t="shared" si="42"/>
        <v>0</v>
      </c>
    </row>
    <row r="129" spans="2:16">
      <c r="B129" s="160" t="str">
        <f t="shared" si="32"/>
        <v/>
      </c>
      <c r="C129" s="472">
        <f>IF(D93="","-",+C128+1)</f>
        <v>2042</v>
      </c>
      <c r="D129" s="346">
        <f>IF(F128+SUM(E$99:E128)=D$92,F128,D$92-SUM(E$99:E128))</f>
        <v>1083655.1400000001</v>
      </c>
      <c r="E129" s="486">
        <f t="shared" si="43"/>
        <v>78709</v>
      </c>
      <c r="F129" s="485">
        <f t="shared" si="44"/>
        <v>1004946.1400000001</v>
      </c>
      <c r="G129" s="485">
        <f t="shared" si="45"/>
        <v>1044300.6400000001</v>
      </c>
      <c r="H129" s="488">
        <f t="shared" si="46"/>
        <v>191296.35299571039</v>
      </c>
      <c r="I129" s="542">
        <f t="shared" si="47"/>
        <v>191296.35299571039</v>
      </c>
      <c r="J129" s="478">
        <f t="shared" si="26"/>
        <v>0</v>
      </c>
      <c r="K129" s="478"/>
      <c r="L129" s="487"/>
      <c r="M129" s="478">
        <f t="shared" si="48"/>
        <v>0</v>
      </c>
      <c r="N129" s="487"/>
      <c r="O129" s="478">
        <f t="shared" si="41"/>
        <v>0</v>
      </c>
      <c r="P129" s="478">
        <f t="shared" si="42"/>
        <v>0</v>
      </c>
    </row>
    <row r="130" spans="2:16">
      <c r="B130" s="160" t="str">
        <f t="shared" si="32"/>
        <v/>
      </c>
      <c r="C130" s="472">
        <f>IF(D93="","-",+C129+1)</f>
        <v>2043</v>
      </c>
      <c r="D130" s="346">
        <f>IF(F129+SUM(E$99:E129)=D$92,F129,D$92-SUM(E$99:E129))</f>
        <v>1004946.1400000001</v>
      </c>
      <c r="E130" s="486">
        <f t="shared" si="43"/>
        <v>78709</v>
      </c>
      <c r="F130" s="485">
        <f t="shared" si="44"/>
        <v>926237.14000000013</v>
      </c>
      <c r="G130" s="485">
        <f t="shared" si="45"/>
        <v>965591.64000000013</v>
      </c>
      <c r="H130" s="488">
        <f t="shared" si="46"/>
        <v>182810.63764946742</v>
      </c>
      <c r="I130" s="542">
        <f t="shared" si="47"/>
        <v>182810.63764946742</v>
      </c>
      <c r="J130" s="478">
        <f t="shared" si="26"/>
        <v>0</v>
      </c>
      <c r="K130" s="478"/>
      <c r="L130" s="487"/>
      <c r="M130" s="478">
        <f t="shared" si="48"/>
        <v>0</v>
      </c>
      <c r="N130" s="487"/>
      <c r="O130" s="478">
        <f t="shared" si="41"/>
        <v>0</v>
      </c>
      <c r="P130" s="478">
        <f t="shared" si="42"/>
        <v>0</v>
      </c>
    </row>
    <row r="131" spans="2:16">
      <c r="B131" s="160" t="str">
        <f t="shared" si="32"/>
        <v/>
      </c>
      <c r="C131" s="472">
        <f>IF(D93="","-",+C130+1)</f>
        <v>2044</v>
      </c>
      <c r="D131" s="346">
        <f>IF(F130+SUM(E$99:E130)=D$92,F130,D$92-SUM(E$99:E130))</f>
        <v>926237.14000000013</v>
      </c>
      <c r="E131" s="486">
        <f t="shared" si="43"/>
        <v>78709</v>
      </c>
      <c r="F131" s="485">
        <f t="shared" si="44"/>
        <v>847528.14000000013</v>
      </c>
      <c r="G131" s="485">
        <f t="shared" si="45"/>
        <v>886882.64000000013</v>
      </c>
      <c r="H131" s="488">
        <f t="shared" ref="H131:H154" si="49">+J$94*G131+E131</f>
        <v>174324.92230322445</v>
      </c>
      <c r="I131" s="542">
        <f t="shared" ref="I131:I154" si="50">+J$95*G131+E131</f>
        <v>174324.92230322445</v>
      </c>
      <c r="J131" s="478">
        <f t="shared" ref="J131:J154" si="51">+I541-H541</f>
        <v>0</v>
      </c>
      <c r="K131" s="478"/>
      <c r="L131" s="487"/>
      <c r="M131" s="478">
        <f t="shared" ref="M131:M154" si="52">IF(L541&lt;&gt;0,+H541-L541,0)</f>
        <v>0</v>
      </c>
      <c r="N131" s="487"/>
      <c r="O131" s="478">
        <f t="shared" ref="O131:O154" si="53">IF(N541&lt;&gt;0,+I541-N541,0)</f>
        <v>0</v>
      </c>
      <c r="P131" s="478">
        <f t="shared" ref="P131:P154" si="54">+O541-M541</f>
        <v>0</v>
      </c>
    </row>
    <row r="132" spans="2:16">
      <c r="B132" s="160" t="str">
        <f t="shared" ref="B132:B154" si="55">IF(D132=F131,"","IU")</f>
        <v/>
      </c>
      <c r="C132" s="472">
        <f>IF(D93="","-",+C131+1)</f>
        <v>2045</v>
      </c>
      <c r="D132" s="346">
        <f>IF(F131+SUM(E$99:E131)=D$92,F131,D$92-SUM(E$99:E131))</f>
        <v>847528.14000000013</v>
      </c>
      <c r="E132" s="486">
        <f t="shared" si="43"/>
        <v>78709</v>
      </c>
      <c r="F132" s="485">
        <f t="shared" si="44"/>
        <v>768819.14000000013</v>
      </c>
      <c r="G132" s="485">
        <f t="shared" si="45"/>
        <v>808173.64000000013</v>
      </c>
      <c r="H132" s="488">
        <f t="shared" si="49"/>
        <v>165839.20695698145</v>
      </c>
      <c r="I132" s="542">
        <f t="shared" si="50"/>
        <v>165839.20695698145</v>
      </c>
      <c r="J132" s="478">
        <f t="shared" si="51"/>
        <v>0</v>
      </c>
      <c r="K132" s="478"/>
      <c r="L132" s="487"/>
      <c r="M132" s="478">
        <f t="shared" si="52"/>
        <v>0</v>
      </c>
      <c r="N132" s="487"/>
      <c r="O132" s="478">
        <f t="shared" si="53"/>
        <v>0</v>
      </c>
      <c r="P132" s="478">
        <f t="shared" si="54"/>
        <v>0</v>
      </c>
    </row>
    <row r="133" spans="2:16">
      <c r="B133" s="160" t="str">
        <f t="shared" si="55"/>
        <v/>
      </c>
      <c r="C133" s="472">
        <f>IF(D93="","-",+C132+1)</f>
        <v>2046</v>
      </c>
      <c r="D133" s="346">
        <f>IF(F132+SUM(E$99:E132)=D$92,F132,D$92-SUM(E$99:E132))</f>
        <v>768819.14000000013</v>
      </c>
      <c r="E133" s="486">
        <f t="shared" si="43"/>
        <v>78709</v>
      </c>
      <c r="F133" s="485">
        <f t="shared" si="44"/>
        <v>690110.14000000013</v>
      </c>
      <c r="G133" s="485">
        <f t="shared" si="45"/>
        <v>729464.64000000013</v>
      </c>
      <c r="H133" s="488">
        <f t="shared" si="49"/>
        <v>157353.49161073848</v>
      </c>
      <c r="I133" s="542">
        <f t="shared" si="50"/>
        <v>157353.49161073848</v>
      </c>
      <c r="J133" s="478">
        <f t="shared" si="51"/>
        <v>0</v>
      </c>
      <c r="K133" s="478"/>
      <c r="L133" s="487"/>
      <c r="M133" s="478">
        <f t="shared" si="52"/>
        <v>0</v>
      </c>
      <c r="N133" s="487"/>
      <c r="O133" s="478">
        <f t="shared" si="53"/>
        <v>0</v>
      </c>
      <c r="P133" s="478">
        <f t="shared" si="54"/>
        <v>0</v>
      </c>
    </row>
    <row r="134" spans="2:16">
      <c r="B134" s="160" t="str">
        <f t="shared" si="55"/>
        <v/>
      </c>
      <c r="C134" s="472">
        <f>IF(D93="","-",+C133+1)</f>
        <v>2047</v>
      </c>
      <c r="D134" s="346">
        <f>IF(F133+SUM(E$99:E133)=D$92,F133,D$92-SUM(E$99:E133))</f>
        <v>690110.14000000013</v>
      </c>
      <c r="E134" s="486">
        <f t="shared" si="43"/>
        <v>78709</v>
      </c>
      <c r="F134" s="485">
        <f t="shared" si="44"/>
        <v>611401.14000000013</v>
      </c>
      <c r="G134" s="485">
        <f t="shared" si="45"/>
        <v>650755.64000000013</v>
      </c>
      <c r="H134" s="488">
        <f t="shared" si="49"/>
        <v>148867.77626449551</v>
      </c>
      <c r="I134" s="542">
        <f t="shared" si="50"/>
        <v>148867.77626449551</v>
      </c>
      <c r="J134" s="478">
        <f t="shared" si="51"/>
        <v>0</v>
      </c>
      <c r="K134" s="478"/>
      <c r="L134" s="487"/>
      <c r="M134" s="478">
        <f t="shared" si="52"/>
        <v>0</v>
      </c>
      <c r="N134" s="487"/>
      <c r="O134" s="478">
        <f t="shared" si="53"/>
        <v>0</v>
      </c>
      <c r="P134" s="478">
        <f t="shared" si="54"/>
        <v>0</v>
      </c>
    </row>
    <row r="135" spans="2:16">
      <c r="B135" s="160" t="str">
        <f t="shared" si="55"/>
        <v/>
      </c>
      <c r="C135" s="472">
        <f>IF(D93="","-",+C134+1)</f>
        <v>2048</v>
      </c>
      <c r="D135" s="346">
        <f>IF(F134+SUM(E$99:E134)=D$92,F134,D$92-SUM(E$99:E134))</f>
        <v>611401.14000000013</v>
      </c>
      <c r="E135" s="486">
        <f t="shared" si="43"/>
        <v>78709</v>
      </c>
      <c r="F135" s="485">
        <f t="shared" si="44"/>
        <v>532692.14000000013</v>
      </c>
      <c r="G135" s="485">
        <f t="shared" si="45"/>
        <v>572046.64000000013</v>
      </c>
      <c r="H135" s="488">
        <f t="shared" si="49"/>
        <v>140382.06091825251</v>
      </c>
      <c r="I135" s="542">
        <f t="shared" si="50"/>
        <v>140382.06091825251</v>
      </c>
      <c r="J135" s="478">
        <f t="shared" si="51"/>
        <v>0</v>
      </c>
      <c r="K135" s="478"/>
      <c r="L135" s="487"/>
      <c r="M135" s="478">
        <f t="shared" si="52"/>
        <v>0</v>
      </c>
      <c r="N135" s="487"/>
      <c r="O135" s="478">
        <f t="shared" si="53"/>
        <v>0</v>
      </c>
      <c r="P135" s="478">
        <f t="shared" si="54"/>
        <v>0</v>
      </c>
    </row>
    <row r="136" spans="2:16">
      <c r="B136" s="160" t="str">
        <f t="shared" si="55"/>
        <v/>
      </c>
      <c r="C136" s="472">
        <f>IF(D93="","-",+C135+1)</f>
        <v>2049</v>
      </c>
      <c r="D136" s="346">
        <f>IF(F135+SUM(E$99:E135)=D$92,F135,D$92-SUM(E$99:E135))</f>
        <v>532692.14000000013</v>
      </c>
      <c r="E136" s="486">
        <f t="shared" si="43"/>
        <v>78709</v>
      </c>
      <c r="F136" s="485">
        <f t="shared" si="44"/>
        <v>453983.14000000013</v>
      </c>
      <c r="G136" s="485">
        <f t="shared" si="45"/>
        <v>493337.64000000013</v>
      </c>
      <c r="H136" s="488">
        <f t="shared" si="49"/>
        <v>131896.34557200951</v>
      </c>
      <c r="I136" s="542">
        <f t="shared" si="50"/>
        <v>131896.34557200951</v>
      </c>
      <c r="J136" s="478">
        <f t="shared" si="51"/>
        <v>0</v>
      </c>
      <c r="K136" s="478"/>
      <c r="L136" s="487"/>
      <c r="M136" s="478">
        <f t="shared" si="52"/>
        <v>0</v>
      </c>
      <c r="N136" s="487"/>
      <c r="O136" s="478">
        <f t="shared" si="53"/>
        <v>0</v>
      </c>
      <c r="P136" s="478">
        <f t="shared" si="54"/>
        <v>0</v>
      </c>
    </row>
    <row r="137" spans="2:16">
      <c r="B137" s="160" t="str">
        <f t="shared" si="55"/>
        <v/>
      </c>
      <c r="C137" s="472">
        <f>IF(D93="","-",+C136+1)</f>
        <v>2050</v>
      </c>
      <c r="D137" s="346">
        <f>IF(F136+SUM(E$99:E136)=D$92,F136,D$92-SUM(E$99:E136))</f>
        <v>453983.14000000013</v>
      </c>
      <c r="E137" s="486">
        <f t="shared" si="43"/>
        <v>78709</v>
      </c>
      <c r="F137" s="485">
        <f t="shared" si="44"/>
        <v>375274.14000000013</v>
      </c>
      <c r="G137" s="485">
        <f t="shared" si="45"/>
        <v>414628.64000000013</v>
      </c>
      <c r="H137" s="488">
        <f t="shared" si="49"/>
        <v>123410.63022576654</v>
      </c>
      <c r="I137" s="542">
        <f t="shared" si="50"/>
        <v>123410.63022576654</v>
      </c>
      <c r="J137" s="478">
        <f t="shared" si="51"/>
        <v>0</v>
      </c>
      <c r="K137" s="478"/>
      <c r="L137" s="487"/>
      <c r="M137" s="478">
        <f t="shared" si="52"/>
        <v>0</v>
      </c>
      <c r="N137" s="487"/>
      <c r="O137" s="478">
        <f t="shared" si="53"/>
        <v>0</v>
      </c>
      <c r="P137" s="478">
        <f t="shared" si="54"/>
        <v>0</v>
      </c>
    </row>
    <row r="138" spans="2:16">
      <c r="B138" s="160" t="str">
        <f t="shared" si="55"/>
        <v/>
      </c>
      <c r="C138" s="472">
        <f>IF(D93="","-",+C137+1)</f>
        <v>2051</v>
      </c>
      <c r="D138" s="346">
        <f>IF(F137+SUM(E$99:E137)=D$92,F137,D$92-SUM(E$99:E137))</f>
        <v>375274.14000000013</v>
      </c>
      <c r="E138" s="486">
        <f t="shared" si="43"/>
        <v>78709</v>
      </c>
      <c r="F138" s="485">
        <f t="shared" si="44"/>
        <v>296565.14000000013</v>
      </c>
      <c r="G138" s="485">
        <f t="shared" si="45"/>
        <v>335919.64000000013</v>
      </c>
      <c r="H138" s="488">
        <f t="shared" si="49"/>
        <v>114924.91487952355</v>
      </c>
      <c r="I138" s="542">
        <f t="shared" si="50"/>
        <v>114924.91487952355</v>
      </c>
      <c r="J138" s="478">
        <f t="shared" si="51"/>
        <v>0</v>
      </c>
      <c r="K138" s="478"/>
      <c r="L138" s="487"/>
      <c r="M138" s="478">
        <f t="shared" si="52"/>
        <v>0</v>
      </c>
      <c r="N138" s="487"/>
      <c r="O138" s="478">
        <f t="shared" si="53"/>
        <v>0</v>
      </c>
      <c r="P138" s="478">
        <f t="shared" si="54"/>
        <v>0</v>
      </c>
    </row>
    <row r="139" spans="2:16">
      <c r="B139" s="160" t="str">
        <f t="shared" si="55"/>
        <v/>
      </c>
      <c r="C139" s="472">
        <f>IF(D93="","-",+C138+1)</f>
        <v>2052</v>
      </c>
      <c r="D139" s="346">
        <f>IF(F138+SUM(E$99:E138)=D$92,F138,D$92-SUM(E$99:E138))</f>
        <v>296565.14000000013</v>
      </c>
      <c r="E139" s="486">
        <f t="shared" si="43"/>
        <v>78709</v>
      </c>
      <c r="F139" s="485">
        <f t="shared" si="44"/>
        <v>217856.14000000013</v>
      </c>
      <c r="G139" s="485">
        <f t="shared" si="45"/>
        <v>257210.64000000013</v>
      </c>
      <c r="H139" s="488">
        <f t="shared" si="49"/>
        <v>106439.19953328057</v>
      </c>
      <c r="I139" s="542">
        <f t="shared" si="50"/>
        <v>106439.19953328057</v>
      </c>
      <c r="J139" s="478">
        <f t="shared" si="51"/>
        <v>0</v>
      </c>
      <c r="K139" s="478"/>
      <c r="L139" s="487"/>
      <c r="M139" s="478">
        <f t="shared" si="52"/>
        <v>0</v>
      </c>
      <c r="N139" s="487"/>
      <c r="O139" s="478">
        <f t="shared" si="53"/>
        <v>0</v>
      </c>
      <c r="P139" s="478">
        <f t="shared" si="54"/>
        <v>0</v>
      </c>
    </row>
    <row r="140" spans="2:16">
      <c r="B140" s="160" t="str">
        <f t="shared" si="55"/>
        <v/>
      </c>
      <c r="C140" s="472">
        <f>IF(D93="","-",+C139+1)</f>
        <v>2053</v>
      </c>
      <c r="D140" s="346">
        <f>IF(F139+SUM(E$99:E139)=D$92,F139,D$92-SUM(E$99:E139))</f>
        <v>217856.14000000013</v>
      </c>
      <c r="E140" s="486">
        <f t="shared" si="43"/>
        <v>78709</v>
      </c>
      <c r="F140" s="485">
        <f t="shared" si="44"/>
        <v>139147.14000000013</v>
      </c>
      <c r="G140" s="485">
        <f t="shared" si="45"/>
        <v>178501.64000000013</v>
      </c>
      <c r="H140" s="488">
        <f t="shared" si="49"/>
        <v>97953.484187037597</v>
      </c>
      <c r="I140" s="542">
        <f t="shared" si="50"/>
        <v>97953.484187037597</v>
      </c>
      <c r="J140" s="478">
        <f t="shared" si="51"/>
        <v>0</v>
      </c>
      <c r="K140" s="478"/>
      <c r="L140" s="487"/>
      <c r="M140" s="478">
        <f t="shared" si="52"/>
        <v>0</v>
      </c>
      <c r="N140" s="487"/>
      <c r="O140" s="478">
        <f t="shared" si="53"/>
        <v>0</v>
      </c>
      <c r="P140" s="478">
        <f t="shared" si="54"/>
        <v>0</v>
      </c>
    </row>
    <row r="141" spans="2:16">
      <c r="B141" s="160" t="str">
        <f t="shared" si="55"/>
        <v/>
      </c>
      <c r="C141" s="472">
        <f>IF(D93="","-",+C140+1)</f>
        <v>2054</v>
      </c>
      <c r="D141" s="346">
        <f>IF(F140+SUM(E$99:E140)=D$92,F140,D$92-SUM(E$99:E140))</f>
        <v>139147.14000000013</v>
      </c>
      <c r="E141" s="486">
        <f t="shared" si="43"/>
        <v>78709</v>
      </c>
      <c r="F141" s="485">
        <f t="shared" si="44"/>
        <v>60438.14000000013</v>
      </c>
      <c r="G141" s="485">
        <f t="shared" si="45"/>
        <v>99792.64000000013</v>
      </c>
      <c r="H141" s="488">
        <f t="shared" si="49"/>
        <v>89467.768840794597</v>
      </c>
      <c r="I141" s="542">
        <f t="shared" si="50"/>
        <v>89467.768840794597</v>
      </c>
      <c r="J141" s="478">
        <f t="shared" si="51"/>
        <v>0</v>
      </c>
      <c r="K141" s="478"/>
      <c r="L141" s="487"/>
      <c r="M141" s="478">
        <f t="shared" si="52"/>
        <v>0</v>
      </c>
      <c r="N141" s="487"/>
      <c r="O141" s="478">
        <f t="shared" si="53"/>
        <v>0</v>
      </c>
      <c r="P141" s="478">
        <f t="shared" si="54"/>
        <v>0</v>
      </c>
    </row>
    <row r="142" spans="2:16">
      <c r="B142" s="160" t="str">
        <f t="shared" si="55"/>
        <v/>
      </c>
      <c r="C142" s="472">
        <f>IF(D93="","-",+C141+1)</f>
        <v>2055</v>
      </c>
      <c r="D142" s="346">
        <f>IF(F141+SUM(E$99:E141)=D$92,F141,D$92-SUM(E$99:E141))</f>
        <v>60438.14000000013</v>
      </c>
      <c r="E142" s="486">
        <f t="shared" si="43"/>
        <v>60438.14000000013</v>
      </c>
      <c r="F142" s="485">
        <f t="shared" si="44"/>
        <v>0</v>
      </c>
      <c r="G142" s="485">
        <f t="shared" si="45"/>
        <v>30219.070000000065</v>
      </c>
      <c r="H142" s="488">
        <f t="shared" si="49"/>
        <v>63696.095583836686</v>
      </c>
      <c r="I142" s="542">
        <f t="shared" si="50"/>
        <v>63696.095583836686</v>
      </c>
      <c r="J142" s="478">
        <f t="shared" si="51"/>
        <v>0</v>
      </c>
      <c r="K142" s="478"/>
      <c r="L142" s="487"/>
      <c r="M142" s="478">
        <f t="shared" si="52"/>
        <v>0</v>
      </c>
      <c r="N142" s="487"/>
      <c r="O142" s="478">
        <f t="shared" si="53"/>
        <v>0</v>
      </c>
      <c r="P142" s="478">
        <f t="shared" si="54"/>
        <v>0</v>
      </c>
    </row>
    <row r="143" spans="2:16">
      <c r="B143" s="160" t="str">
        <f t="shared" si="55"/>
        <v/>
      </c>
      <c r="C143" s="472">
        <f>IF(D93="","-",+C142+1)</f>
        <v>2056</v>
      </c>
      <c r="D143" s="346">
        <f>IF(F142+SUM(E$99:E142)=D$92,F142,D$92-SUM(E$99:E142))</f>
        <v>0</v>
      </c>
      <c r="E143" s="486">
        <f t="shared" si="43"/>
        <v>0</v>
      </c>
      <c r="F143" s="485">
        <f t="shared" si="44"/>
        <v>0</v>
      </c>
      <c r="G143" s="485">
        <f t="shared" si="45"/>
        <v>0</v>
      </c>
      <c r="H143" s="488">
        <f t="shared" si="49"/>
        <v>0</v>
      </c>
      <c r="I143" s="542">
        <f t="shared" si="50"/>
        <v>0</v>
      </c>
      <c r="J143" s="478">
        <f t="shared" si="51"/>
        <v>0</v>
      </c>
      <c r="K143" s="478"/>
      <c r="L143" s="487"/>
      <c r="M143" s="478">
        <f t="shared" si="52"/>
        <v>0</v>
      </c>
      <c r="N143" s="487"/>
      <c r="O143" s="478">
        <f t="shared" si="53"/>
        <v>0</v>
      </c>
      <c r="P143" s="478">
        <f t="shared" si="54"/>
        <v>0</v>
      </c>
    </row>
    <row r="144" spans="2:16">
      <c r="B144" s="160" t="str">
        <f t="shared" si="55"/>
        <v/>
      </c>
      <c r="C144" s="472">
        <f>IF(D93="","-",+C143+1)</f>
        <v>2057</v>
      </c>
      <c r="D144" s="346">
        <f>IF(F143+SUM(E$99:E143)=D$92,F143,D$92-SUM(E$99:E143))</f>
        <v>0</v>
      </c>
      <c r="E144" s="486">
        <f t="shared" si="43"/>
        <v>0</v>
      </c>
      <c r="F144" s="485">
        <f t="shared" si="44"/>
        <v>0</v>
      </c>
      <c r="G144" s="485">
        <f t="shared" si="45"/>
        <v>0</v>
      </c>
      <c r="H144" s="488">
        <f t="shared" si="49"/>
        <v>0</v>
      </c>
      <c r="I144" s="542">
        <f t="shared" si="50"/>
        <v>0</v>
      </c>
      <c r="J144" s="478">
        <f t="shared" si="51"/>
        <v>0</v>
      </c>
      <c r="K144" s="478"/>
      <c r="L144" s="487"/>
      <c r="M144" s="478">
        <f t="shared" si="52"/>
        <v>0</v>
      </c>
      <c r="N144" s="487"/>
      <c r="O144" s="478">
        <f t="shared" si="53"/>
        <v>0</v>
      </c>
      <c r="P144" s="478">
        <f t="shared" si="54"/>
        <v>0</v>
      </c>
    </row>
    <row r="145" spans="2:16">
      <c r="B145" s="160" t="str">
        <f t="shared" si="55"/>
        <v/>
      </c>
      <c r="C145" s="472">
        <f>IF(D93="","-",+C144+1)</f>
        <v>2058</v>
      </c>
      <c r="D145" s="346">
        <f>IF(F144+SUM(E$99:E144)=D$92,F144,D$92-SUM(E$99:E144))</f>
        <v>0</v>
      </c>
      <c r="E145" s="486">
        <f t="shared" si="43"/>
        <v>0</v>
      </c>
      <c r="F145" s="485">
        <f t="shared" si="44"/>
        <v>0</v>
      </c>
      <c r="G145" s="485">
        <f t="shared" si="45"/>
        <v>0</v>
      </c>
      <c r="H145" s="488">
        <f t="shared" si="49"/>
        <v>0</v>
      </c>
      <c r="I145" s="542">
        <f t="shared" si="50"/>
        <v>0</v>
      </c>
      <c r="J145" s="478">
        <f t="shared" si="51"/>
        <v>0</v>
      </c>
      <c r="K145" s="478"/>
      <c r="L145" s="487"/>
      <c r="M145" s="478">
        <f t="shared" si="52"/>
        <v>0</v>
      </c>
      <c r="N145" s="487"/>
      <c r="O145" s="478">
        <f t="shared" si="53"/>
        <v>0</v>
      </c>
      <c r="P145" s="478">
        <f t="shared" si="54"/>
        <v>0</v>
      </c>
    </row>
    <row r="146" spans="2:16">
      <c r="B146" s="160" t="str">
        <f t="shared" si="55"/>
        <v/>
      </c>
      <c r="C146" s="472">
        <f>IF(D93="","-",+C145+1)</f>
        <v>2059</v>
      </c>
      <c r="D146" s="346">
        <f>IF(F145+SUM(E$99:E145)=D$92,F145,D$92-SUM(E$99:E145))</f>
        <v>0</v>
      </c>
      <c r="E146" s="486">
        <f t="shared" si="43"/>
        <v>0</v>
      </c>
      <c r="F146" s="485">
        <f t="shared" si="44"/>
        <v>0</v>
      </c>
      <c r="G146" s="485">
        <f t="shared" si="45"/>
        <v>0</v>
      </c>
      <c r="H146" s="488">
        <f t="shared" si="49"/>
        <v>0</v>
      </c>
      <c r="I146" s="542">
        <f t="shared" si="50"/>
        <v>0</v>
      </c>
      <c r="J146" s="478">
        <f t="shared" si="51"/>
        <v>0</v>
      </c>
      <c r="K146" s="478"/>
      <c r="L146" s="487"/>
      <c r="M146" s="478">
        <f t="shared" si="52"/>
        <v>0</v>
      </c>
      <c r="N146" s="487"/>
      <c r="O146" s="478">
        <f t="shared" si="53"/>
        <v>0</v>
      </c>
      <c r="P146" s="478">
        <f t="shared" si="54"/>
        <v>0</v>
      </c>
    </row>
    <row r="147" spans="2:16">
      <c r="B147" s="160" t="str">
        <f t="shared" si="55"/>
        <v/>
      </c>
      <c r="C147" s="472">
        <f>IF(D93="","-",+C146+1)</f>
        <v>2060</v>
      </c>
      <c r="D147" s="346">
        <f>IF(F146+SUM(E$99:E146)=D$92,F146,D$92-SUM(E$99:E146))</f>
        <v>0</v>
      </c>
      <c r="E147" s="486">
        <f t="shared" si="43"/>
        <v>0</v>
      </c>
      <c r="F147" s="485">
        <f t="shared" si="44"/>
        <v>0</v>
      </c>
      <c r="G147" s="485">
        <f t="shared" si="45"/>
        <v>0</v>
      </c>
      <c r="H147" s="488">
        <f t="shared" si="49"/>
        <v>0</v>
      </c>
      <c r="I147" s="542">
        <f t="shared" si="50"/>
        <v>0</v>
      </c>
      <c r="J147" s="478">
        <f t="shared" si="51"/>
        <v>0</v>
      </c>
      <c r="K147" s="478"/>
      <c r="L147" s="487"/>
      <c r="M147" s="478">
        <f t="shared" si="52"/>
        <v>0</v>
      </c>
      <c r="N147" s="487"/>
      <c r="O147" s="478">
        <f t="shared" si="53"/>
        <v>0</v>
      </c>
      <c r="P147" s="478">
        <f t="shared" si="54"/>
        <v>0</v>
      </c>
    </row>
    <row r="148" spans="2:16">
      <c r="B148" s="160" t="str">
        <f t="shared" si="55"/>
        <v/>
      </c>
      <c r="C148" s="472">
        <f>IF(D93="","-",+C147+1)</f>
        <v>2061</v>
      </c>
      <c r="D148" s="346">
        <f>IF(F147+SUM(E$99:E147)=D$92,F147,D$92-SUM(E$99:E147))</f>
        <v>0</v>
      </c>
      <c r="E148" s="486">
        <f t="shared" si="43"/>
        <v>0</v>
      </c>
      <c r="F148" s="485">
        <f t="shared" si="44"/>
        <v>0</v>
      </c>
      <c r="G148" s="485">
        <f t="shared" si="45"/>
        <v>0</v>
      </c>
      <c r="H148" s="488">
        <f t="shared" si="49"/>
        <v>0</v>
      </c>
      <c r="I148" s="542">
        <f t="shared" si="50"/>
        <v>0</v>
      </c>
      <c r="J148" s="478">
        <f t="shared" si="51"/>
        <v>0</v>
      </c>
      <c r="K148" s="478"/>
      <c r="L148" s="487"/>
      <c r="M148" s="478">
        <f t="shared" si="52"/>
        <v>0</v>
      </c>
      <c r="N148" s="487"/>
      <c r="O148" s="478">
        <f t="shared" si="53"/>
        <v>0</v>
      </c>
      <c r="P148" s="478">
        <f t="shared" si="54"/>
        <v>0</v>
      </c>
    </row>
    <row r="149" spans="2:16">
      <c r="B149" s="160" t="str">
        <f t="shared" si="55"/>
        <v/>
      </c>
      <c r="C149" s="472">
        <f>IF(D93="","-",+C148+1)</f>
        <v>2062</v>
      </c>
      <c r="D149" s="346">
        <f>IF(F148+SUM(E$99:E148)=D$92,F148,D$92-SUM(E$99:E148))</f>
        <v>0</v>
      </c>
      <c r="E149" s="486">
        <f t="shared" si="43"/>
        <v>0</v>
      </c>
      <c r="F149" s="485">
        <f t="shared" si="44"/>
        <v>0</v>
      </c>
      <c r="G149" s="485">
        <f t="shared" si="45"/>
        <v>0</v>
      </c>
      <c r="H149" s="488">
        <f t="shared" si="49"/>
        <v>0</v>
      </c>
      <c r="I149" s="542">
        <f t="shared" si="50"/>
        <v>0</v>
      </c>
      <c r="J149" s="478">
        <f t="shared" si="51"/>
        <v>0</v>
      </c>
      <c r="K149" s="478"/>
      <c r="L149" s="487"/>
      <c r="M149" s="478">
        <f t="shared" si="52"/>
        <v>0</v>
      </c>
      <c r="N149" s="487"/>
      <c r="O149" s="478">
        <f t="shared" si="53"/>
        <v>0</v>
      </c>
      <c r="P149" s="478">
        <f t="shared" si="54"/>
        <v>0</v>
      </c>
    </row>
    <row r="150" spans="2:16">
      <c r="B150" s="160" t="str">
        <f t="shared" si="55"/>
        <v/>
      </c>
      <c r="C150" s="472">
        <f>IF(D93="","-",+C149+1)</f>
        <v>2063</v>
      </c>
      <c r="D150" s="346">
        <f>IF(F149+SUM(E$99:E149)=D$92,F149,D$92-SUM(E$99:E149))</f>
        <v>0</v>
      </c>
      <c r="E150" s="486">
        <f t="shared" si="43"/>
        <v>0</v>
      </c>
      <c r="F150" s="485">
        <f t="shared" si="44"/>
        <v>0</v>
      </c>
      <c r="G150" s="485">
        <f t="shared" si="45"/>
        <v>0</v>
      </c>
      <c r="H150" s="488">
        <f t="shared" si="49"/>
        <v>0</v>
      </c>
      <c r="I150" s="542">
        <f t="shared" si="50"/>
        <v>0</v>
      </c>
      <c r="J150" s="478">
        <f t="shared" si="51"/>
        <v>0</v>
      </c>
      <c r="K150" s="478"/>
      <c r="L150" s="487"/>
      <c r="M150" s="478">
        <f t="shared" si="52"/>
        <v>0</v>
      </c>
      <c r="N150" s="487"/>
      <c r="O150" s="478">
        <f t="shared" si="53"/>
        <v>0</v>
      </c>
      <c r="P150" s="478">
        <f t="shared" si="54"/>
        <v>0</v>
      </c>
    </row>
    <row r="151" spans="2:16">
      <c r="B151" s="160" t="str">
        <f t="shared" si="55"/>
        <v/>
      </c>
      <c r="C151" s="472">
        <f>IF(D93="","-",+C150+1)</f>
        <v>2064</v>
      </c>
      <c r="D151" s="346">
        <f>IF(F150+SUM(E$99:E150)=D$92,F150,D$92-SUM(E$99:E150))</f>
        <v>0</v>
      </c>
      <c r="E151" s="486">
        <f t="shared" si="43"/>
        <v>0</v>
      </c>
      <c r="F151" s="485">
        <f t="shared" si="44"/>
        <v>0</v>
      </c>
      <c r="G151" s="485">
        <f t="shared" si="45"/>
        <v>0</v>
      </c>
      <c r="H151" s="488">
        <f t="shared" si="49"/>
        <v>0</v>
      </c>
      <c r="I151" s="542">
        <f t="shared" si="50"/>
        <v>0</v>
      </c>
      <c r="J151" s="478">
        <f t="shared" si="51"/>
        <v>0</v>
      </c>
      <c r="K151" s="478"/>
      <c r="L151" s="487"/>
      <c r="M151" s="478">
        <f t="shared" si="52"/>
        <v>0</v>
      </c>
      <c r="N151" s="487"/>
      <c r="O151" s="478">
        <f t="shared" si="53"/>
        <v>0</v>
      </c>
      <c r="P151" s="478">
        <f t="shared" si="54"/>
        <v>0</v>
      </c>
    </row>
    <row r="152" spans="2:16">
      <c r="B152" s="160" t="str">
        <f t="shared" si="55"/>
        <v/>
      </c>
      <c r="C152" s="472">
        <f>IF(D93="","-",+C151+1)</f>
        <v>2065</v>
      </c>
      <c r="D152" s="346">
        <f>IF(F151+SUM(E$99:E151)=D$92,F151,D$92-SUM(E$99:E151))</f>
        <v>0</v>
      </c>
      <c r="E152" s="486">
        <f t="shared" si="43"/>
        <v>0</v>
      </c>
      <c r="F152" s="485">
        <f t="shared" si="44"/>
        <v>0</v>
      </c>
      <c r="G152" s="485">
        <f t="shared" si="45"/>
        <v>0</v>
      </c>
      <c r="H152" s="488">
        <f t="shared" si="49"/>
        <v>0</v>
      </c>
      <c r="I152" s="542">
        <f t="shared" si="50"/>
        <v>0</v>
      </c>
      <c r="J152" s="478">
        <f t="shared" si="51"/>
        <v>0</v>
      </c>
      <c r="K152" s="478"/>
      <c r="L152" s="487"/>
      <c r="M152" s="478">
        <f t="shared" si="52"/>
        <v>0</v>
      </c>
      <c r="N152" s="487"/>
      <c r="O152" s="478">
        <f t="shared" si="53"/>
        <v>0</v>
      </c>
      <c r="P152" s="478">
        <f t="shared" si="54"/>
        <v>0</v>
      </c>
    </row>
    <row r="153" spans="2:16">
      <c r="B153" s="160" t="str">
        <f t="shared" si="55"/>
        <v/>
      </c>
      <c r="C153" s="472">
        <f>IF(D93="","-",+C152+1)</f>
        <v>2066</v>
      </c>
      <c r="D153" s="346">
        <f>IF(F152+SUM(E$99:E152)=D$92,F152,D$92-SUM(E$99:E152))</f>
        <v>0</v>
      </c>
      <c r="E153" s="486">
        <f t="shared" si="43"/>
        <v>0</v>
      </c>
      <c r="F153" s="485">
        <f t="shared" si="44"/>
        <v>0</v>
      </c>
      <c r="G153" s="485">
        <f t="shared" si="45"/>
        <v>0</v>
      </c>
      <c r="H153" s="488">
        <f t="shared" si="49"/>
        <v>0</v>
      </c>
      <c r="I153" s="542">
        <f t="shared" si="50"/>
        <v>0</v>
      </c>
      <c r="J153" s="478">
        <f t="shared" si="51"/>
        <v>0</v>
      </c>
      <c r="K153" s="478"/>
      <c r="L153" s="487"/>
      <c r="M153" s="478">
        <f t="shared" si="52"/>
        <v>0</v>
      </c>
      <c r="N153" s="487"/>
      <c r="O153" s="478">
        <f t="shared" si="53"/>
        <v>0</v>
      </c>
      <c r="P153" s="478">
        <f t="shared" si="54"/>
        <v>0</v>
      </c>
    </row>
    <row r="154" spans="2:16" ht="13.5" thickBot="1">
      <c r="B154" s="160" t="str">
        <f t="shared" si="55"/>
        <v/>
      </c>
      <c r="C154" s="489">
        <f>IF(D93="","-",+C153+1)</f>
        <v>2067</v>
      </c>
      <c r="D154" s="543">
        <f>IF(F153+SUM(E$99:E153)=D$92,F153,D$92-SUM(E$99:E153))</f>
        <v>0</v>
      </c>
      <c r="E154" s="544">
        <f t="shared" si="43"/>
        <v>0</v>
      </c>
      <c r="F154" s="490">
        <f t="shared" si="44"/>
        <v>0</v>
      </c>
      <c r="G154" s="490">
        <f t="shared" si="45"/>
        <v>0</v>
      </c>
      <c r="H154" s="492">
        <f t="shared" si="49"/>
        <v>0</v>
      </c>
      <c r="I154" s="545">
        <f t="shared" si="50"/>
        <v>0</v>
      </c>
      <c r="J154" s="495">
        <f t="shared" si="51"/>
        <v>0</v>
      </c>
      <c r="K154" s="478"/>
      <c r="L154" s="494"/>
      <c r="M154" s="495">
        <f t="shared" si="52"/>
        <v>0</v>
      </c>
      <c r="N154" s="494"/>
      <c r="O154" s="495">
        <f t="shared" si="53"/>
        <v>0</v>
      </c>
      <c r="P154" s="495">
        <f t="shared" si="54"/>
        <v>0</v>
      </c>
    </row>
    <row r="155" spans="2:16">
      <c r="C155" s="346" t="s">
        <v>77</v>
      </c>
      <c r="D155" s="347"/>
      <c r="E155" s="347">
        <f>SUM(E99:E154)</f>
        <v>3305767.14</v>
      </c>
      <c r="F155" s="347"/>
      <c r="G155" s="347"/>
      <c r="H155" s="347">
        <f>SUM(H99:H154)</f>
        <v>11507823.456457051</v>
      </c>
      <c r="I155" s="347">
        <f>SUM(I99:I154)</f>
        <v>11507823.456457051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8:C72">
    <cfRule type="cellIs" dxfId="44" priority="2" stopIfTrue="1" operator="equal">
      <formula>$I$10</formula>
    </cfRule>
  </conditionalFormatting>
  <conditionalFormatting sqref="C99:C154">
    <cfRule type="cellIs" dxfId="43" priority="3" stopIfTrue="1" operator="equal">
      <formula>$J$92</formula>
    </cfRule>
  </conditionalFormatting>
  <conditionalFormatting sqref="C17">
    <cfRule type="cellIs" dxfId="42" priority="1" stopIfTrue="1" operator="equal">
      <formula>$I$10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00000"/>
  </sheetPr>
  <dimension ref="A1:P162"/>
  <sheetViews>
    <sheetView view="pageBreakPreview" topLeftCell="A10" zoomScale="75" zoomScaleNormal="100" workbookViewId="0">
      <selection activeCell="E21" sqref="E2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13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2369.1190476190477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2369.1190476190477</v>
      </c>
      <c r="O6" s="232"/>
      <c r="P6" s="232"/>
    </row>
    <row r="7" spans="1:16" ht="13.5" thickBot="1">
      <c r="C7" s="431" t="s">
        <v>46</v>
      </c>
      <c r="D7" s="432" t="s">
        <v>259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>DOES NOT MEET SPP $100,000 MINIMUM INVESTMENT FOR REGIONAL BPU SHARING.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239</v>
      </c>
      <c r="E9" s="577" t="s">
        <v>293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22097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526.11904761904759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9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D11</f>
        <v>2010</v>
      </c>
      <c r="D17" s="473">
        <v>0</v>
      </c>
      <c r="E17" s="479">
        <v>0</v>
      </c>
      <c r="F17" s="479">
        <v>0</v>
      </c>
      <c r="G17" s="479">
        <v>0</v>
      </c>
      <c r="H17" s="588">
        <v>0</v>
      </c>
      <c r="I17" s="475">
        <f t="shared" ref="I17:I48" si="0">H17-G17</f>
        <v>0</v>
      </c>
      <c r="J17" s="348"/>
      <c r="K17" s="476">
        <f t="shared" ref="K17:K22" si="1">G17</f>
        <v>0</v>
      </c>
      <c r="L17" s="589">
        <f t="shared" ref="L17:L48" si="2">IF(K17&lt;&gt;0,+G17-K17,0)</f>
        <v>0</v>
      </c>
      <c r="M17" s="476">
        <f t="shared" ref="M17:M22" si="3">H17</f>
        <v>0</v>
      </c>
      <c r="N17" s="559">
        <f t="shared" ref="N17:N48" si="4">IF(M17&lt;&gt;0,+H17-M17,0)</f>
        <v>0</v>
      </c>
      <c r="O17" s="478">
        <f t="shared" ref="O17:O48" si="5">+N17-L17</f>
        <v>0</v>
      </c>
      <c r="P17" s="242"/>
    </row>
    <row r="18" spans="2:16">
      <c r="B18" s="160" t="str">
        <f t="shared" ref="B18:B49" si="6">IF(D18=F17,"","IU")</f>
        <v/>
      </c>
      <c r="C18" s="472">
        <f>IF($D$11="","-",+C17+1)</f>
        <v>2011</v>
      </c>
      <c r="D18" s="473">
        <v>0</v>
      </c>
      <c r="E18" s="479">
        <v>0</v>
      </c>
      <c r="F18" s="479">
        <v>0</v>
      </c>
      <c r="G18" s="479">
        <v>0</v>
      </c>
      <c r="H18" s="588">
        <v>0</v>
      </c>
      <c r="I18" s="475">
        <f t="shared" si="0"/>
        <v>0</v>
      </c>
      <c r="J18" s="348"/>
      <c r="K18" s="476">
        <f t="shared" si="1"/>
        <v>0</v>
      </c>
      <c r="L18" s="348">
        <f t="shared" si="2"/>
        <v>0</v>
      </c>
      <c r="M18" s="476">
        <f t="shared" si="3"/>
        <v>0</v>
      </c>
      <c r="N18" s="475">
        <f t="shared" si="4"/>
        <v>0</v>
      </c>
      <c r="O18" s="478">
        <f t="shared" si="5"/>
        <v>0</v>
      </c>
      <c r="P18" s="242"/>
    </row>
    <row r="19" spans="2:16">
      <c r="B19" s="160" t="str">
        <f t="shared" si="6"/>
        <v>IU</v>
      </c>
      <c r="C19" s="472">
        <f>IF(D11="","-",+C18+1)</f>
        <v>2012</v>
      </c>
      <c r="D19" s="473">
        <v>22097</v>
      </c>
      <c r="E19" s="480">
        <v>212.47115384615381</v>
      </c>
      <c r="F19" s="473">
        <v>21884.528846153848</v>
      </c>
      <c r="G19" s="480">
        <v>3258.944937760969</v>
      </c>
      <c r="H19" s="481">
        <v>3258.944937760969</v>
      </c>
      <c r="I19" s="475">
        <f>H19-G19</f>
        <v>0</v>
      </c>
      <c r="J19" s="348"/>
      <c r="K19" s="476">
        <f t="shared" si="1"/>
        <v>3258.944937760969</v>
      </c>
      <c r="L19" s="348">
        <f t="shared" si="2"/>
        <v>0</v>
      </c>
      <c r="M19" s="476">
        <f t="shared" si="3"/>
        <v>3258.944937760969</v>
      </c>
      <c r="N19" s="475">
        <f t="shared" si="4"/>
        <v>0</v>
      </c>
      <c r="O19" s="478">
        <f t="shared" si="5"/>
        <v>0</v>
      </c>
      <c r="P19" s="242"/>
    </row>
    <row r="20" spans="2:16">
      <c r="B20" s="160" t="str">
        <f t="shared" si="6"/>
        <v/>
      </c>
      <c r="C20" s="472">
        <f>IF(D11="","-",+C19+1)</f>
        <v>2013</v>
      </c>
      <c r="D20" s="473">
        <v>21884.528846153848</v>
      </c>
      <c r="E20" s="480">
        <v>424.94230769230768</v>
      </c>
      <c r="F20" s="473">
        <v>21459.586538461539</v>
      </c>
      <c r="G20" s="480">
        <v>3489.9423076923076</v>
      </c>
      <c r="H20" s="481">
        <v>3489.9423076923076</v>
      </c>
      <c r="I20" s="475">
        <v>0</v>
      </c>
      <c r="J20" s="475"/>
      <c r="K20" s="476">
        <f t="shared" si="1"/>
        <v>3489.9423076923076</v>
      </c>
      <c r="L20" s="348">
        <f t="shared" ref="L20:L25" si="7">IF(K20&lt;&gt;0,+G20-K20,0)</f>
        <v>0</v>
      </c>
      <c r="M20" s="476">
        <f t="shared" si="3"/>
        <v>3489.9423076923076</v>
      </c>
      <c r="N20" s="475">
        <f t="shared" ref="N20:N25" si="8">IF(M20&lt;&gt;0,+H20-M20,0)</f>
        <v>0</v>
      </c>
      <c r="O20" s="478">
        <f t="shared" ref="O20:O25" si="9">+N20-L20</f>
        <v>0</v>
      </c>
      <c r="P20" s="242"/>
    </row>
    <row r="21" spans="2:16">
      <c r="B21" s="160" t="str">
        <f t="shared" si="6"/>
        <v/>
      </c>
      <c r="C21" s="472">
        <f>IF(D11="","-",+C20+1)</f>
        <v>2014</v>
      </c>
      <c r="D21" s="473">
        <v>21459.586538461539</v>
      </c>
      <c r="E21" s="480">
        <v>424.94230769230768</v>
      </c>
      <c r="F21" s="473">
        <v>21034.64423076923</v>
      </c>
      <c r="G21" s="480">
        <v>3320.9423076923076</v>
      </c>
      <c r="H21" s="481">
        <v>3320.9423076923076</v>
      </c>
      <c r="I21" s="475">
        <v>0</v>
      </c>
      <c r="J21" s="475"/>
      <c r="K21" s="476">
        <f t="shared" si="1"/>
        <v>3320.9423076923076</v>
      </c>
      <c r="L21" s="348">
        <f t="shared" si="7"/>
        <v>0</v>
      </c>
      <c r="M21" s="476">
        <f t="shared" si="3"/>
        <v>3320.9423076923076</v>
      </c>
      <c r="N21" s="475">
        <f t="shared" si="8"/>
        <v>0</v>
      </c>
      <c r="O21" s="478">
        <f t="shared" si="9"/>
        <v>0</v>
      </c>
      <c r="P21" s="242"/>
    </row>
    <row r="22" spans="2:16">
      <c r="B22" s="160" t="str">
        <f t="shared" si="6"/>
        <v/>
      </c>
      <c r="C22" s="472">
        <f>IF(D11="","-",+C21+1)</f>
        <v>2015</v>
      </c>
      <c r="D22" s="473">
        <v>21034.64423076923</v>
      </c>
      <c r="E22" s="480">
        <v>424.94230769230768</v>
      </c>
      <c r="F22" s="473">
        <v>20609.701923076922</v>
      </c>
      <c r="G22" s="480">
        <v>3265.9423076923076</v>
      </c>
      <c r="H22" s="481">
        <v>3265.9423076923076</v>
      </c>
      <c r="I22" s="475">
        <v>0</v>
      </c>
      <c r="J22" s="475"/>
      <c r="K22" s="476">
        <f t="shared" si="1"/>
        <v>3265.9423076923076</v>
      </c>
      <c r="L22" s="348">
        <f t="shared" si="7"/>
        <v>0</v>
      </c>
      <c r="M22" s="476">
        <f t="shared" si="3"/>
        <v>3265.9423076923076</v>
      </c>
      <c r="N22" s="475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/>
      </c>
      <c r="C23" s="472">
        <f>IF(D11="","-",+C22+1)</f>
        <v>2016</v>
      </c>
      <c r="D23" s="473">
        <v>20609.701923076922</v>
      </c>
      <c r="E23" s="480">
        <v>424.94230769230768</v>
      </c>
      <c r="F23" s="473">
        <v>20184.759615384613</v>
      </c>
      <c r="G23" s="480">
        <v>3071.9423076923076</v>
      </c>
      <c r="H23" s="481">
        <v>3071.9423076923076</v>
      </c>
      <c r="I23" s="475">
        <f t="shared" si="0"/>
        <v>0</v>
      </c>
      <c r="J23" s="475"/>
      <c r="K23" s="476">
        <f t="shared" ref="K23:K28" si="10">G23</f>
        <v>3071.9423076923076</v>
      </c>
      <c r="L23" s="348">
        <f t="shared" si="7"/>
        <v>0</v>
      </c>
      <c r="M23" s="476">
        <f t="shared" ref="M23:M28" si="11">H23</f>
        <v>3071.9423076923076</v>
      </c>
      <c r="N23" s="475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2017</v>
      </c>
      <c r="D24" s="473">
        <v>20184.759615384613</v>
      </c>
      <c r="E24" s="480">
        <v>480.36956521739131</v>
      </c>
      <c r="F24" s="473">
        <v>19704.390050167221</v>
      </c>
      <c r="G24" s="480">
        <v>2988.3695652173915</v>
      </c>
      <c r="H24" s="481">
        <v>2988.3695652173915</v>
      </c>
      <c r="I24" s="475">
        <f t="shared" si="0"/>
        <v>0</v>
      </c>
      <c r="J24" s="475"/>
      <c r="K24" s="476">
        <f t="shared" si="10"/>
        <v>2988.3695652173915</v>
      </c>
      <c r="L24" s="348">
        <f t="shared" si="7"/>
        <v>0</v>
      </c>
      <c r="M24" s="476">
        <f t="shared" si="11"/>
        <v>2988.3695652173915</v>
      </c>
      <c r="N24" s="475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2018</v>
      </c>
      <c r="D25" s="473">
        <v>19704.390050167221</v>
      </c>
      <c r="E25" s="480">
        <v>491.04444444444442</v>
      </c>
      <c r="F25" s="473">
        <v>19213.345605722778</v>
      </c>
      <c r="G25" s="480">
        <v>2821.4178428916557</v>
      </c>
      <c r="H25" s="481">
        <v>2821.4178428916557</v>
      </c>
      <c r="I25" s="475">
        <f t="shared" si="0"/>
        <v>0</v>
      </c>
      <c r="J25" s="475"/>
      <c r="K25" s="476">
        <f t="shared" si="10"/>
        <v>2821.4178428916557</v>
      </c>
      <c r="L25" s="348">
        <f t="shared" si="7"/>
        <v>0</v>
      </c>
      <c r="M25" s="476">
        <f t="shared" si="11"/>
        <v>2821.4178428916557</v>
      </c>
      <c r="N25" s="475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2019</v>
      </c>
      <c r="D26" s="473">
        <v>19213.345605722778</v>
      </c>
      <c r="E26" s="480">
        <v>552.42499999999995</v>
      </c>
      <c r="F26" s="473">
        <v>18660.920605722778</v>
      </c>
      <c r="G26" s="480">
        <v>2666.8814890183439</v>
      </c>
      <c r="H26" s="481">
        <v>2666.8814890183439</v>
      </c>
      <c r="I26" s="475">
        <f t="shared" si="0"/>
        <v>0</v>
      </c>
      <c r="J26" s="475"/>
      <c r="K26" s="476">
        <f t="shared" si="10"/>
        <v>2666.8814890183439</v>
      </c>
      <c r="L26" s="348">
        <f t="shared" ref="L26" si="12">IF(K26&lt;&gt;0,+G26-K26,0)</f>
        <v>0</v>
      </c>
      <c r="M26" s="476">
        <f t="shared" si="11"/>
        <v>2666.8814890183439</v>
      </c>
      <c r="N26" s="475">
        <f t="shared" ref="N26" si="13">IF(M26&lt;&gt;0,+H26-M26,0)</f>
        <v>0</v>
      </c>
      <c r="O26" s="478">
        <f t="shared" si="5"/>
        <v>0</v>
      </c>
      <c r="P26" s="242"/>
    </row>
    <row r="27" spans="2:16">
      <c r="B27" s="160" t="str">
        <f t="shared" si="6"/>
        <v>IU</v>
      </c>
      <c r="C27" s="472">
        <f>IF(D11="","-",+C26+1)</f>
        <v>2020</v>
      </c>
      <c r="D27" s="473">
        <v>18722.301161278334</v>
      </c>
      <c r="E27" s="480">
        <v>526.11904761904759</v>
      </c>
      <c r="F27" s="473">
        <v>18196.182113659288</v>
      </c>
      <c r="G27" s="480">
        <v>2519.8053226007855</v>
      </c>
      <c r="H27" s="481">
        <v>2519.8053226007855</v>
      </c>
      <c r="I27" s="475">
        <f t="shared" si="0"/>
        <v>0</v>
      </c>
      <c r="J27" s="475"/>
      <c r="K27" s="476">
        <f t="shared" si="10"/>
        <v>2519.8053226007855</v>
      </c>
      <c r="L27" s="348">
        <f t="shared" ref="L27" si="14">IF(K27&lt;&gt;0,+G27-K27,0)</f>
        <v>0</v>
      </c>
      <c r="M27" s="476">
        <f t="shared" si="11"/>
        <v>2519.8053226007855</v>
      </c>
      <c r="N27" s="478">
        <f t="shared" si="4"/>
        <v>0</v>
      </c>
      <c r="O27" s="478">
        <f t="shared" si="5"/>
        <v>0</v>
      </c>
      <c r="P27" s="242"/>
    </row>
    <row r="28" spans="2:16">
      <c r="B28" s="160" t="str">
        <f t="shared" si="6"/>
        <v>IU</v>
      </c>
      <c r="C28" s="472">
        <f>IF(D11="","-",+C27+1)</f>
        <v>2021</v>
      </c>
      <c r="D28" s="473">
        <v>18134.801558103733</v>
      </c>
      <c r="E28" s="480">
        <v>513.88372093023258</v>
      </c>
      <c r="F28" s="473">
        <v>17620.9178371735</v>
      </c>
      <c r="G28" s="480">
        <v>2413.8837209302328</v>
      </c>
      <c r="H28" s="481">
        <v>2413.8837209302328</v>
      </c>
      <c r="I28" s="475">
        <f t="shared" si="0"/>
        <v>0</v>
      </c>
      <c r="J28" s="475"/>
      <c r="K28" s="476">
        <f t="shared" si="10"/>
        <v>2413.8837209302328</v>
      </c>
      <c r="L28" s="348">
        <f t="shared" ref="L28" si="15">IF(K28&lt;&gt;0,+G28-K28,0)</f>
        <v>0</v>
      </c>
      <c r="M28" s="476">
        <f t="shared" si="11"/>
        <v>2413.8837209302328</v>
      </c>
      <c r="N28" s="478">
        <f t="shared" si="4"/>
        <v>0</v>
      </c>
      <c r="O28" s="478">
        <f t="shared" si="5"/>
        <v>0</v>
      </c>
      <c r="P28" s="242"/>
    </row>
    <row r="29" spans="2:16">
      <c r="B29" s="160" t="str">
        <f t="shared" si="6"/>
        <v/>
      </c>
      <c r="C29" s="472">
        <f>IF(D11="","-",+C28+1)</f>
        <v>2022</v>
      </c>
      <c r="D29" s="485">
        <f>IF(F28+SUM(E$17:E28)=D$10,F28,D$10-SUM(E$17:E28))</f>
        <v>17620.9178371735</v>
      </c>
      <c r="E29" s="484">
        <f>IF(+I14&lt;F28,I14,D29)</f>
        <v>526.11904761904759</v>
      </c>
      <c r="F29" s="485">
        <f t="shared" ref="F29:F48" si="16">+D29-E29</f>
        <v>17094.798789554454</v>
      </c>
      <c r="G29" s="486">
        <f t="shared" ref="G29:G49" si="17">ROUND(I$12*F29,0)+E29</f>
        <v>2369.1190476190477</v>
      </c>
      <c r="H29" s="455">
        <f t="shared" ref="H29:H49" si="18">ROUND(I$13*F29,0)+E29</f>
        <v>2369.1190476190477</v>
      </c>
      <c r="I29" s="475">
        <f t="shared" si="0"/>
        <v>0</v>
      </c>
      <c r="J29" s="475"/>
      <c r="K29" s="487"/>
      <c r="L29" s="478">
        <f t="shared" si="2"/>
        <v>0</v>
      </c>
      <c r="M29" s="487"/>
      <c r="N29" s="478">
        <f t="shared" si="4"/>
        <v>0</v>
      </c>
      <c r="O29" s="478">
        <f t="shared" si="5"/>
        <v>0</v>
      </c>
      <c r="P29" s="242"/>
    </row>
    <row r="30" spans="2:16">
      <c r="B30" s="160" t="str">
        <f t="shared" si="6"/>
        <v/>
      </c>
      <c r="C30" s="472">
        <f>IF(D11="","-",+C29+1)</f>
        <v>2023</v>
      </c>
      <c r="D30" s="485">
        <f>IF(F29+SUM(E$17:E29)=D$10,F29,D$10-SUM(E$17:E29))</f>
        <v>17094.798789554454</v>
      </c>
      <c r="E30" s="484">
        <f>IF(+I14&lt;F29,I14,D30)</f>
        <v>526.11904761904759</v>
      </c>
      <c r="F30" s="485">
        <f t="shared" si="16"/>
        <v>16568.679741935408</v>
      </c>
      <c r="G30" s="486">
        <f t="shared" si="17"/>
        <v>2312.1190476190477</v>
      </c>
      <c r="H30" s="455">
        <f t="shared" si="18"/>
        <v>2312.1190476190477</v>
      </c>
      <c r="I30" s="475">
        <f t="shared" si="0"/>
        <v>0</v>
      </c>
      <c r="J30" s="475"/>
      <c r="K30" s="487"/>
      <c r="L30" s="478">
        <f t="shared" si="2"/>
        <v>0</v>
      </c>
      <c r="M30" s="487"/>
      <c r="N30" s="478">
        <f t="shared" si="4"/>
        <v>0</v>
      </c>
      <c r="O30" s="478">
        <f t="shared" si="5"/>
        <v>0</v>
      </c>
      <c r="P30" s="242"/>
    </row>
    <row r="31" spans="2:16">
      <c r="B31" s="160" t="str">
        <f t="shared" si="6"/>
        <v/>
      </c>
      <c r="C31" s="472">
        <f>IF(D11="","-",+C30+1)</f>
        <v>2024</v>
      </c>
      <c r="D31" s="485">
        <f>IF(F30+SUM(E$17:E30)=D$10,F30,D$10-SUM(E$17:E30))</f>
        <v>16568.679741935408</v>
      </c>
      <c r="E31" s="484">
        <f>IF(+I14&lt;F30,I14,D31)</f>
        <v>526.11904761904759</v>
      </c>
      <c r="F31" s="485">
        <f t="shared" si="16"/>
        <v>16042.56069431636</v>
      </c>
      <c r="G31" s="486">
        <f t="shared" si="17"/>
        <v>2256.1190476190477</v>
      </c>
      <c r="H31" s="455">
        <f t="shared" si="18"/>
        <v>2256.1190476190477</v>
      </c>
      <c r="I31" s="475">
        <f t="shared" si="0"/>
        <v>0</v>
      </c>
      <c r="J31" s="475"/>
      <c r="K31" s="487"/>
      <c r="L31" s="478">
        <f t="shared" si="2"/>
        <v>0</v>
      </c>
      <c r="M31" s="487"/>
      <c r="N31" s="478">
        <f t="shared" si="4"/>
        <v>0</v>
      </c>
      <c r="O31" s="478">
        <f t="shared" si="5"/>
        <v>0</v>
      </c>
      <c r="P31" s="242"/>
    </row>
    <row r="32" spans="2:16">
      <c r="B32" s="160" t="str">
        <f t="shared" si="6"/>
        <v/>
      </c>
      <c r="C32" s="472">
        <f>IF(D11="","-",+C31+1)</f>
        <v>2025</v>
      </c>
      <c r="D32" s="485">
        <f>IF(F31+SUM(E$17:E31)=D$10,F31,D$10-SUM(E$17:E31))</f>
        <v>16042.56069431636</v>
      </c>
      <c r="E32" s="484">
        <f>IF(+I14&lt;F31,I14,D32)</f>
        <v>526.11904761904759</v>
      </c>
      <c r="F32" s="485">
        <f t="shared" si="16"/>
        <v>15516.441646697313</v>
      </c>
      <c r="G32" s="486">
        <f t="shared" si="17"/>
        <v>2199.1190476190477</v>
      </c>
      <c r="H32" s="455">
        <f t="shared" si="18"/>
        <v>2199.1190476190477</v>
      </c>
      <c r="I32" s="475">
        <f t="shared" si="0"/>
        <v>0</v>
      </c>
      <c r="J32" s="475"/>
      <c r="K32" s="487"/>
      <c r="L32" s="478">
        <f t="shared" si="2"/>
        <v>0</v>
      </c>
      <c r="M32" s="487"/>
      <c r="N32" s="478">
        <f t="shared" si="4"/>
        <v>0</v>
      </c>
      <c r="O32" s="478">
        <f t="shared" si="5"/>
        <v>0</v>
      </c>
      <c r="P32" s="242"/>
    </row>
    <row r="33" spans="2:16">
      <c r="B33" s="160" t="str">
        <f t="shared" si="6"/>
        <v/>
      </c>
      <c r="C33" s="472">
        <f>IF(D11="","-",+C32+1)</f>
        <v>2026</v>
      </c>
      <c r="D33" s="485">
        <f>IF(F32+SUM(E$17:E32)=D$10,F32,D$10-SUM(E$17:E32))</f>
        <v>15516.441646697313</v>
      </c>
      <c r="E33" s="484">
        <f>IF(+I14&lt;F32,I14,D33)</f>
        <v>526.11904761904759</v>
      </c>
      <c r="F33" s="485">
        <f t="shared" si="16"/>
        <v>14990.322599078265</v>
      </c>
      <c r="G33" s="486">
        <f t="shared" si="17"/>
        <v>2142.1190476190477</v>
      </c>
      <c r="H33" s="455">
        <f t="shared" si="18"/>
        <v>2142.1190476190477</v>
      </c>
      <c r="I33" s="475">
        <f t="shared" si="0"/>
        <v>0</v>
      </c>
      <c r="J33" s="475"/>
      <c r="K33" s="487"/>
      <c r="L33" s="478">
        <f t="shared" si="2"/>
        <v>0</v>
      </c>
      <c r="M33" s="487"/>
      <c r="N33" s="478">
        <f t="shared" si="4"/>
        <v>0</v>
      </c>
      <c r="O33" s="478">
        <f t="shared" si="5"/>
        <v>0</v>
      </c>
      <c r="P33" s="242"/>
    </row>
    <row r="34" spans="2:16">
      <c r="B34" s="160" t="str">
        <f t="shared" si="6"/>
        <v/>
      </c>
      <c r="C34" s="472">
        <f>IF(D11="","-",+C33+1)</f>
        <v>2027</v>
      </c>
      <c r="D34" s="485">
        <f>IF(F33+SUM(E$17:E33)=D$10,F33,D$10-SUM(E$17:E33))</f>
        <v>14990.322599078265</v>
      </c>
      <c r="E34" s="484">
        <f>IF(+I14&lt;F33,I14,D34)</f>
        <v>526.11904761904759</v>
      </c>
      <c r="F34" s="485">
        <f t="shared" si="16"/>
        <v>14464.203551459217</v>
      </c>
      <c r="G34" s="486">
        <f t="shared" si="17"/>
        <v>2085.1190476190477</v>
      </c>
      <c r="H34" s="455">
        <f t="shared" si="18"/>
        <v>2085.1190476190477</v>
      </c>
      <c r="I34" s="475">
        <f t="shared" si="0"/>
        <v>0</v>
      </c>
      <c r="J34" s="475"/>
      <c r="K34" s="487"/>
      <c r="L34" s="478">
        <f t="shared" si="2"/>
        <v>0</v>
      </c>
      <c r="M34" s="487"/>
      <c r="N34" s="478">
        <f t="shared" si="4"/>
        <v>0</v>
      </c>
      <c r="O34" s="478">
        <f t="shared" si="5"/>
        <v>0</v>
      </c>
      <c r="P34" s="242"/>
    </row>
    <row r="35" spans="2:16">
      <c r="B35" s="160" t="str">
        <f t="shared" si="6"/>
        <v/>
      </c>
      <c r="C35" s="472">
        <f>IF(D11="","-",+C34+1)</f>
        <v>2028</v>
      </c>
      <c r="D35" s="485">
        <f>IF(F34+SUM(E$17:E34)=D$10,F34,D$10-SUM(E$17:E34))</f>
        <v>14464.203551459217</v>
      </c>
      <c r="E35" s="484">
        <f>IF(+I14&lt;F34,I14,D35)</f>
        <v>526.11904761904759</v>
      </c>
      <c r="F35" s="485">
        <f t="shared" si="16"/>
        <v>13938.084503840169</v>
      </c>
      <c r="G35" s="486">
        <f t="shared" si="17"/>
        <v>2029.1190476190477</v>
      </c>
      <c r="H35" s="455">
        <f t="shared" si="18"/>
        <v>2029.1190476190477</v>
      </c>
      <c r="I35" s="475">
        <f t="shared" si="0"/>
        <v>0</v>
      </c>
      <c r="J35" s="475"/>
      <c r="K35" s="487"/>
      <c r="L35" s="478">
        <f t="shared" si="2"/>
        <v>0</v>
      </c>
      <c r="M35" s="487"/>
      <c r="N35" s="478">
        <f t="shared" si="4"/>
        <v>0</v>
      </c>
      <c r="O35" s="478">
        <f t="shared" si="5"/>
        <v>0</v>
      </c>
      <c r="P35" s="242"/>
    </row>
    <row r="36" spans="2:16">
      <c r="B36" s="160" t="str">
        <f t="shared" si="6"/>
        <v/>
      </c>
      <c r="C36" s="472">
        <f>IF(D11="","-",+C35+1)</f>
        <v>2029</v>
      </c>
      <c r="D36" s="485">
        <f>IF(F35+SUM(E$17:E35)=D$10,F35,D$10-SUM(E$17:E35))</f>
        <v>13938.084503840169</v>
      </c>
      <c r="E36" s="484">
        <f>IF(+I14&lt;F35,I14,D36)</f>
        <v>526.11904761904759</v>
      </c>
      <c r="F36" s="485">
        <f t="shared" si="16"/>
        <v>13411.965456221122</v>
      </c>
      <c r="G36" s="486">
        <f t="shared" si="17"/>
        <v>1972.1190476190477</v>
      </c>
      <c r="H36" s="455">
        <f t="shared" si="18"/>
        <v>1972.1190476190477</v>
      </c>
      <c r="I36" s="475">
        <f t="shared" si="0"/>
        <v>0</v>
      </c>
      <c r="J36" s="475"/>
      <c r="K36" s="487"/>
      <c r="L36" s="478">
        <f t="shared" si="2"/>
        <v>0</v>
      </c>
      <c r="M36" s="487"/>
      <c r="N36" s="478">
        <f t="shared" si="4"/>
        <v>0</v>
      </c>
      <c r="O36" s="478">
        <f t="shared" si="5"/>
        <v>0</v>
      </c>
      <c r="P36" s="242"/>
    </row>
    <row r="37" spans="2:16">
      <c r="B37" s="160" t="str">
        <f t="shared" si="6"/>
        <v/>
      </c>
      <c r="C37" s="472">
        <f>IF(D11="","-",+C36+1)</f>
        <v>2030</v>
      </c>
      <c r="D37" s="485">
        <f>IF(F36+SUM(E$17:E36)=D$10,F36,D$10-SUM(E$17:E36))</f>
        <v>13411.965456221122</v>
      </c>
      <c r="E37" s="484">
        <f>IF(+I14&lt;F36,I14,D37)</f>
        <v>526.11904761904759</v>
      </c>
      <c r="F37" s="485">
        <f t="shared" si="16"/>
        <v>12885.846408602074</v>
      </c>
      <c r="G37" s="486">
        <f t="shared" si="17"/>
        <v>1915.1190476190477</v>
      </c>
      <c r="H37" s="455">
        <f t="shared" si="18"/>
        <v>1915.1190476190477</v>
      </c>
      <c r="I37" s="475">
        <f t="shared" si="0"/>
        <v>0</v>
      </c>
      <c r="J37" s="475"/>
      <c r="K37" s="487"/>
      <c r="L37" s="478">
        <f t="shared" si="2"/>
        <v>0</v>
      </c>
      <c r="M37" s="487"/>
      <c r="N37" s="478">
        <f t="shared" si="4"/>
        <v>0</v>
      </c>
      <c r="O37" s="478">
        <f t="shared" si="5"/>
        <v>0</v>
      </c>
      <c r="P37" s="242"/>
    </row>
    <row r="38" spans="2:16">
      <c r="B38" s="160" t="str">
        <f t="shared" si="6"/>
        <v/>
      </c>
      <c r="C38" s="472">
        <f>IF(D11="","-",+C37+1)</f>
        <v>2031</v>
      </c>
      <c r="D38" s="485">
        <f>IF(F37+SUM(E$17:E37)=D$10,F37,D$10-SUM(E$17:E37))</f>
        <v>12885.846408602074</v>
      </c>
      <c r="E38" s="484">
        <f>IF(+I14&lt;F37,I14,D38)</f>
        <v>526.11904761904759</v>
      </c>
      <c r="F38" s="485">
        <f t="shared" si="16"/>
        <v>12359.727360983026</v>
      </c>
      <c r="G38" s="486">
        <f t="shared" si="17"/>
        <v>1859.1190476190477</v>
      </c>
      <c r="H38" s="455">
        <f t="shared" si="18"/>
        <v>1859.1190476190477</v>
      </c>
      <c r="I38" s="475">
        <f t="shared" si="0"/>
        <v>0</v>
      </c>
      <c r="J38" s="475"/>
      <c r="K38" s="487"/>
      <c r="L38" s="478">
        <f t="shared" si="2"/>
        <v>0</v>
      </c>
      <c r="M38" s="487"/>
      <c r="N38" s="478">
        <f t="shared" si="4"/>
        <v>0</v>
      </c>
      <c r="O38" s="478">
        <f t="shared" si="5"/>
        <v>0</v>
      </c>
      <c r="P38" s="242"/>
    </row>
    <row r="39" spans="2:16">
      <c r="B39" s="160" t="str">
        <f t="shared" si="6"/>
        <v/>
      </c>
      <c r="C39" s="472">
        <f>IF(D11="","-",+C38+1)</f>
        <v>2032</v>
      </c>
      <c r="D39" s="485">
        <f>IF(F38+SUM(E$17:E38)=D$10,F38,D$10-SUM(E$17:E38))</f>
        <v>12359.727360983026</v>
      </c>
      <c r="E39" s="484">
        <f>IF(+I14&lt;F38,I14,D39)</f>
        <v>526.11904761904759</v>
      </c>
      <c r="F39" s="485">
        <f t="shared" si="16"/>
        <v>11833.608313363979</v>
      </c>
      <c r="G39" s="486">
        <f t="shared" si="17"/>
        <v>1802.1190476190477</v>
      </c>
      <c r="H39" s="455">
        <f t="shared" si="18"/>
        <v>1802.1190476190477</v>
      </c>
      <c r="I39" s="475">
        <f t="shared" si="0"/>
        <v>0</v>
      </c>
      <c r="J39" s="475"/>
      <c r="K39" s="487"/>
      <c r="L39" s="478">
        <f t="shared" si="2"/>
        <v>0</v>
      </c>
      <c r="M39" s="487"/>
      <c r="N39" s="478">
        <f t="shared" si="4"/>
        <v>0</v>
      </c>
      <c r="O39" s="478">
        <f t="shared" si="5"/>
        <v>0</v>
      </c>
      <c r="P39" s="242"/>
    </row>
    <row r="40" spans="2:16">
      <c r="B40" s="160" t="str">
        <f t="shared" si="6"/>
        <v/>
      </c>
      <c r="C40" s="472">
        <f>IF(D11="","-",+C39+1)</f>
        <v>2033</v>
      </c>
      <c r="D40" s="485">
        <f>IF(F39+SUM(E$17:E39)=D$10,F39,D$10-SUM(E$17:E39))</f>
        <v>11833.608313363979</v>
      </c>
      <c r="E40" s="484">
        <f>IF(+I14&lt;F39,I14,D40)</f>
        <v>526.11904761904759</v>
      </c>
      <c r="F40" s="485">
        <f t="shared" si="16"/>
        <v>11307.489265744931</v>
      </c>
      <c r="G40" s="486">
        <f t="shared" si="17"/>
        <v>1745.1190476190477</v>
      </c>
      <c r="H40" s="455">
        <f t="shared" si="18"/>
        <v>1745.1190476190477</v>
      </c>
      <c r="I40" s="475">
        <f t="shared" si="0"/>
        <v>0</v>
      </c>
      <c r="J40" s="475"/>
      <c r="K40" s="487"/>
      <c r="L40" s="478">
        <f t="shared" si="2"/>
        <v>0</v>
      </c>
      <c r="M40" s="487"/>
      <c r="N40" s="478">
        <f t="shared" si="4"/>
        <v>0</v>
      </c>
      <c r="O40" s="478">
        <f t="shared" si="5"/>
        <v>0</v>
      </c>
      <c r="P40" s="242"/>
    </row>
    <row r="41" spans="2:16">
      <c r="B41" s="160" t="str">
        <f t="shared" si="6"/>
        <v/>
      </c>
      <c r="C41" s="472">
        <f>IF(D11="","-",+C40+1)</f>
        <v>2034</v>
      </c>
      <c r="D41" s="485">
        <f>IF(F40+SUM(E$17:E40)=D$10,F40,D$10-SUM(E$17:E40))</f>
        <v>11307.489265744931</v>
      </c>
      <c r="E41" s="484">
        <f>IF(+I14&lt;F40,I14,D41)</f>
        <v>526.11904761904759</v>
      </c>
      <c r="F41" s="485">
        <f t="shared" si="16"/>
        <v>10781.370218125883</v>
      </c>
      <c r="G41" s="486">
        <f t="shared" si="17"/>
        <v>1688.1190476190477</v>
      </c>
      <c r="H41" s="455">
        <f t="shared" si="18"/>
        <v>1688.1190476190477</v>
      </c>
      <c r="I41" s="475">
        <f t="shared" si="0"/>
        <v>0</v>
      </c>
      <c r="J41" s="475"/>
      <c r="K41" s="487"/>
      <c r="L41" s="478">
        <f t="shared" si="2"/>
        <v>0</v>
      </c>
      <c r="M41" s="487"/>
      <c r="N41" s="478">
        <f t="shared" si="4"/>
        <v>0</v>
      </c>
      <c r="O41" s="478">
        <f t="shared" si="5"/>
        <v>0</v>
      </c>
      <c r="P41" s="242"/>
    </row>
    <row r="42" spans="2:16">
      <c r="B42" s="160" t="str">
        <f t="shared" si="6"/>
        <v/>
      </c>
      <c r="C42" s="472">
        <f>IF(D11="","-",+C41+1)</f>
        <v>2035</v>
      </c>
      <c r="D42" s="485">
        <f>IF(F41+SUM(E$17:E41)=D$10,F41,D$10-SUM(E$17:E41))</f>
        <v>10781.370218125883</v>
      </c>
      <c r="E42" s="484">
        <f>IF(+I14&lt;F41,I14,D42)</f>
        <v>526.11904761904759</v>
      </c>
      <c r="F42" s="485">
        <f t="shared" si="16"/>
        <v>10255.251170506835</v>
      </c>
      <c r="G42" s="486">
        <f t="shared" si="17"/>
        <v>1632.1190476190477</v>
      </c>
      <c r="H42" s="455">
        <f t="shared" si="18"/>
        <v>1632.1190476190477</v>
      </c>
      <c r="I42" s="475">
        <f t="shared" si="0"/>
        <v>0</v>
      </c>
      <c r="J42" s="475"/>
      <c r="K42" s="487"/>
      <c r="L42" s="478">
        <f t="shared" si="2"/>
        <v>0</v>
      </c>
      <c r="M42" s="487"/>
      <c r="N42" s="478">
        <f t="shared" si="4"/>
        <v>0</v>
      </c>
      <c r="O42" s="478">
        <f t="shared" si="5"/>
        <v>0</v>
      </c>
      <c r="P42" s="242"/>
    </row>
    <row r="43" spans="2:16">
      <c r="B43" s="160" t="str">
        <f t="shared" si="6"/>
        <v/>
      </c>
      <c r="C43" s="472">
        <f>IF(D11="","-",+C42+1)</f>
        <v>2036</v>
      </c>
      <c r="D43" s="485">
        <f>IF(F42+SUM(E$17:E42)=D$10,F42,D$10-SUM(E$17:E42))</f>
        <v>10255.251170506835</v>
      </c>
      <c r="E43" s="484">
        <f>IF(+I14&lt;F42,I14,D43)</f>
        <v>526.11904761904759</v>
      </c>
      <c r="F43" s="485">
        <f t="shared" si="16"/>
        <v>9729.1321228877878</v>
      </c>
      <c r="G43" s="486">
        <f t="shared" si="17"/>
        <v>1575.1190476190477</v>
      </c>
      <c r="H43" s="455">
        <f t="shared" si="18"/>
        <v>1575.1190476190477</v>
      </c>
      <c r="I43" s="475">
        <f t="shared" si="0"/>
        <v>0</v>
      </c>
      <c r="J43" s="475"/>
      <c r="K43" s="487"/>
      <c r="L43" s="478">
        <f t="shared" si="2"/>
        <v>0</v>
      </c>
      <c r="M43" s="487"/>
      <c r="N43" s="478">
        <f t="shared" si="4"/>
        <v>0</v>
      </c>
      <c r="O43" s="478">
        <f t="shared" si="5"/>
        <v>0</v>
      </c>
      <c r="P43" s="242"/>
    </row>
    <row r="44" spans="2:16">
      <c r="B44" s="160" t="str">
        <f t="shared" si="6"/>
        <v/>
      </c>
      <c r="C44" s="472">
        <f>IF(D11="","-",+C43+1)</f>
        <v>2037</v>
      </c>
      <c r="D44" s="485">
        <f>IF(F43+SUM(E$17:E43)=D$10,F43,D$10-SUM(E$17:E43))</f>
        <v>9729.1321228877878</v>
      </c>
      <c r="E44" s="484">
        <f>IF(+I14&lt;F43,I14,D44)</f>
        <v>526.11904761904759</v>
      </c>
      <c r="F44" s="485">
        <f t="shared" si="16"/>
        <v>9203.0130752687401</v>
      </c>
      <c r="G44" s="486">
        <f t="shared" si="17"/>
        <v>1518.1190476190477</v>
      </c>
      <c r="H44" s="455">
        <f t="shared" si="18"/>
        <v>1518.1190476190477</v>
      </c>
      <c r="I44" s="475">
        <f t="shared" si="0"/>
        <v>0</v>
      </c>
      <c r="J44" s="475"/>
      <c r="K44" s="487"/>
      <c r="L44" s="478">
        <f t="shared" si="2"/>
        <v>0</v>
      </c>
      <c r="M44" s="487"/>
      <c r="N44" s="478">
        <f t="shared" si="4"/>
        <v>0</v>
      </c>
      <c r="O44" s="478">
        <f t="shared" si="5"/>
        <v>0</v>
      </c>
      <c r="P44" s="242"/>
    </row>
    <row r="45" spans="2:16">
      <c r="B45" s="160" t="str">
        <f t="shared" si="6"/>
        <v/>
      </c>
      <c r="C45" s="472">
        <f>IF(D11="","-",+C44+1)</f>
        <v>2038</v>
      </c>
      <c r="D45" s="485">
        <f>IF(F44+SUM(E$17:E44)=D$10,F44,D$10-SUM(E$17:E44))</f>
        <v>9203.0130752687401</v>
      </c>
      <c r="E45" s="484">
        <f>IF(+I14&lt;F44,I14,D45)</f>
        <v>526.11904761904759</v>
      </c>
      <c r="F45" s="485">
        <f t="shared" si="16"/>
        <v>8676.8940276496924</v>
      </c>
      <c r="G45" s="486">
        <f t="shared" si="17"/>
        <v>1461.1190476190477</v>
      </c>
      <c r="H45" s="455">
        <f t="shared" si="18"/>
        <v>1461.1190476190477</v>
      </c>
      <c r="I45" s="475">
        <f t="shared" si="0"/>
        <v>0</v>
      </c>
      <c r="J45" s="475"/>
      <c r="K45" s="487"/>
      <c r="L45" s="478">
        <f t="shared" si="2"/>
        <v>0</v>
      </c>
      <c r="M45" s="487"/>
      <c r="N45" s="478">
        <f t="shared" si="4"/>
        <v>0</v>
      </c>
      <c r="O45" s="478">
        <f t="shared" si="5"/>
        <v>0</v>
      </c>
      <c r="P45" s="242"/>
    </row>
    <row r="46" spans="2:16">
      <c r="B46" s="160" t="str">
        <f t="shared" si="6"/>
        <v/>
      </c>
      <c r="C46" s="472">
        <f>IF(D11="","-",+C45+1)</f>
        <v>2039</v>
      </c>
      <c r="D46" s="485">
        <f>IF(F45+SUM(E$17:E45)=D$10,F45,D$10-SUM(E$17:E45))</f>
        <v>8676.8940276496924</v>
      </c>
      <c r="E46" s="484">
        <f>IF(+I14&lt;F45,I14,D46)</f>
        <v>526.11904761904759</v>
      </c>
      <c r="F46" s="485">
        <f t="shared" si="16"/>
        <v>8150.7749800306447</v>
      </c>
      <c r="G46" s="486">
        <f t="shared" si="17"/>
        <v>1405.1190476190477</v>
      </c>
      <c r="H46" s="455">
        <f t="shared" si="18"/>
        <v>1405.1190476190477</v>
      </c>
      <c r="I46" s="475">
        <f t="shared" si="0"/>
        <v>0</v>
      </c>
      <c r="J46" s="475"/>
      <c r="K46" s="487"/>
      <c r="L46" s="478">
        <f t="shared" si="2"/>
        <v>0</v>
      </c>
      <c r="M46" s="487"/>
      <c r="N46" s="478">
        <f t="shared" si="4"/>
        <v>0</v>
      </c>
      <c r="O46" s="478">
        <f t="shared" si="5"/>
        <v>0</v>
      </c>
      <c r="P46" s="242"/>
    </row>
    <row r="47" spans="2:16">
      <c r="B47" s="160" t="str">
        <f t="shared" si="6"/>
        <v/>
      </c>
      <c r="C47" s="472">
        <f>IF(D11="","-",+C46+1)</f>
        <v>2040</v>
      </c>
      <c r="D47" s="485">
        <f>IF(F46+SUM(E$17:E46)=D$10,F46,D$10-SUM(E$17:E46))</f>
        <v>8150.7749800306447</v>
      </c>
      <c r="E47" s="484">
        <f>IF(+I14&lt;F46,I14,D47)</f>
        <v>526.11904761904759</v>
      </c>
      <c r="F47" s="485">
        <f t="shared" si="16"/>
        <v>7624.655932411597</v>
      </c>
      <c r="G47" s="486">
        <f t="shared" si="17"/>
        <v>1348.1190476190477</v>
      </c>
      <c r="H47" s="455">
        <f t="shared" si="18"/>
        <v>1348.1190476190477</v>
      </c>
      <c r="I47" s="475">
        <f t="shared" si="0"/>
        <v>0</v>
      </c>
      <c r="J47" s="475"/>
      <c r="K47" s="487"/>
      <c r="L47" s="478">
        <f t="shared" si="2"/>
        <v>0</v>
      </c>
      <c r="M47" s="487"/>
      <c r="N47" s="478">
        <f t="shared" si="4"/>
        <v>0</v>
      </c>
      <c r="O47" s="478">
        <f t="shared" si="5"/>
        <v>0</v>
      </c>
      <c r="P47" s="242"/>
    </row>
    <row r="48" spans="2:16">
      <c r="B48" s="160" t="str">
        <f t="shared" si="6"/>
        <v/>
      </c>
      <c r="C48" s="472">
        <f>IF(D11="","-",+C47+1)</f>
        <v>2041</v>
      </c>
      <c r="D48" s="485">
        <f>IF(F47+SUM(E$17:E47)=D$10,F47,D$10-SUM(E$17:E47))</f>
        <v>7624.655932411597</v>
      </c>
      <c r="E48" s="484">
        <f>IF(+I14&lt;F47,I14,D48)</f>
        <v>526.11904761904759</v>
      </c>
      <c r="F48" s="485">
        <f t="shared" si="16"/>
        <v>7098.5368847925492</v>
      </c>
      <c r="G48" s="486">
        <f t="shared" si="17"/>
        <v>1291.1190476190477</v>
      </c>
      <c r="H48" s="455">
        <f t="shared" si="18"/>
        <v>1291.1190476190477</v>
      </c>
      <c r="I48" s="475">
        <f t="shared" si="0"/>
        <v>0</v>
      </c>
      <c r="J48" s="475"/>
      <c r="K48" s="487"/>
      <c r="L48" s="478">
        <f t="shared" si="2"/>
        <v>0</v>
      </c>
      <c r="M48" s="487"/>
      <c r="N48" s="478">
        <f t="shared" si="4"/>
        <v>0</v>
      </c>
      <c r="O48" s="478">
        <f t="shared" si="5"/>
        <v>0</v>
      </c>
      <c r="P48" s="242"/>
    </row>
    <row r="49" spans="2:16">
      <c r="B49" s="160" t="str">
        <f t="shared" si="6"/>
        <v/>
      </c>
      <c r="C49" s="472">
        <f>IF(D11="","-",+C48+1)</f>
        <v>2042</v>
      </c>
      <c r="D49" s="485">
        <f>IF(F48+SUM(E$17:E48)=D$10,F48,D$10-SUM(E$17:E48))</f>
        <v>7098.5368847925492</v>
      </c>
      <c r="E49" s="484">
        <f>IF(+I14&lt;F48,I14,D49)</f>
        <v>526.11904761904759</v>
      </c>
      <c r="F49" s="485">
        <f t="shared" ref="F49:F72" si="19">+D49-E49</f>
        <v>6572.4178371735015</v>
      </c>
      <c r="G49" s="486">
        <f t="shared" si="17"/>
        <v>1235.1190476190477</v>
      </c>
      <c r="H49" s="455">
        <f t="shared" si="18"/>
        <v>1235.1190476190477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2"/>
    </row>
    <row r="50" spans="2:16">
      <c r="B50" s="160" t="str">
        <f t="shared" ref="B50:B72" si="24">IF(D50=F49,"","IU")</f>
        <v/>
      </c>
      <c r="C50" s="472">
        <f>IF(D11="","-",+C49+1)</f>
        <v>2043</v>
      </c>
      <c r="D50" s="485">
        <f>IF(F49+SUM(E$17:E49)=D$10,F49,D$10-SUM(E$17:E49))</f>
        <v>6572.4178371735015</v>
      </c>
      <c r="E50" s="484">
        <f>IF(+I14&lt;F49,I14,D50)</f>
        <v>526.11904761904759</v>
      </c>
      <c r="F50" s="485">
        <f t="shared" si="19"/>
        <v>6046.2987895544538</v>
      </c>
      <c r="G50" s="486">
        <f t="shared" ref="G50:G72" si="25">ROUND(I$12*F50,0)+E50</f>
        <v>1178.1190476190477</v>
      </c>
      <c r="H50" s="455">
        <f t="shared" ref="H50:H72" si="26">ROUND(I$13*F50,0)+E50</f>
        <v>1178.1190476190477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>
      <c r="B51" s="160" t="str">
        <f t="shared" si="24"/>
        <v/>
      </c>
      <c r="C51" s="472">
        <f>IF(D11="","-",+C50+1)</f>
        <v>2044</v>
      </c>
      <c r="D51" s="485">
        <f>IF(F50+SUM(E$17:E50)=D$10,F50,D$10-SUM(E$17:E50))</f>
        <v>6046.2987895544538</v>
      </c>
      <c r="E51" s="484">
        <f>IF(+I14&lt;F50,I14,D51)</f>
        <v>526.11904761904759</v>
      </c>
      <c r="F51" s="485">
        <f t="shared" si="19"/>
        <v>5520.1797419354061</v>
      </c>
      <c r="G51" s="486">
        <f t="shared" si="25"/>
        <v>1121.1190476190477</v>
      </c>
      <c r="H51" s="455">
        <f t="shared" si="26"/>
        <v>1121.1190476190477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>
      <c r="B52" s="160" t="str">
        <f t="shared" si="24"/>
        <v/>
      </c>
      <c r="C52" s="472">
        <f>IF(D11="","-",+C51+1)</f>
        <v>2045</v>
      </c>
      <c r="D52" s="485">
        <f>IF(F51+SUM(E$17:E51)=D$10,F51,D$10-SUM(E$17:E51))</f>
        <v>5520.1797419354061</v>
      </c>
      <c r="E52" s="484">
        <f>IF(+I14&lt;F51,I14,D52)</f>
        <v>526.11904761904759</v>
      </c>
      <c r="F52" s="485">
        <f t="shared" si="19"/>
        <v>4994.0606943163584</v>
      </c>
      <c r="G52" s="486">
        <f t="shared" si="25"/>
        <v>1064.1190476190477</v>
      </c>
      <c r="H52" s="455">
        <f t="shared" si="26"/>
        <v>1064.1190476190477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>
      <c r="B53" s="160" t="str">
        <f t="shared" si="24"/>
        <v/>
      </c>
      <c r="C53" s="472">
        <f>IF(D11="","-",+C52+1)</f>
        <v>2046</v>
      </c>
      <c r="D53" s="485">
        <f>IF(F52+SUM(E$17:E52)=D$10,F52,D$10-SUM(E$17:E52))</f>
        <v>4994.0606943163584</v>
      </c>
      <c r="E53" s="484">
        <f>IF(+I14&lt;F52,I14,D53)</f>
        <v>526.11904761904759</v>
      </c>
      <c r="F53" s="485">
        <f t="shared" si="19"/>
        <v>4467.9416466973107</v>
      </c>
      <c r="G53" s="486">
        <f t="shared" si="25"/>
        <v>1008.1190476190476</v>
      </c>
      <c r="H53" s="455">
        <f t="shared" si="26"/>
        <v>1008.1190476190476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>
      <c r="B54" s="160" t="str">
        <f t="shared" si="24"/>
        <v/>
      </c>
      <c r="C54" s="472">
        <f>IF(D11="","-",+C53+1)</f>
        <v>2047</v>
      </c>
      <c r="D54" s="485">
        <f>IF(F53+SUM(E$17:E53)=D$10,F53,D$10-SUM(E$17:E53))</f>
        <v>4467.9416466973107</v>
      </c>
      <c r="E54" s="484">
        <f>IF(+I14&lt;F53,I14,D54)</f>
        <v>526.11904761904759</v>
      </c>
      <c r="F54" s="485">
        <f t="shared" si="19"/>
        <v>3941.822599078263</v>
      </c>
      <c r="G54" s="486">
        <f t="shared" si="25"/>
        <v>951.11904761904759</v>
      </c>
      <c r="H54" s="455">
        <f t="shared" si="26"/>
        <v>951.11904761904759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>
      <c r="B55" s="160" t="str">
        <f t="shared" si="24"/>
        <v/>
      </c>
      <c r="C55" s="472">
        <f>IF(D11="","-",+C54+1)</f>
        <v>2048</v>
      </c>
      <c r="D55" s="485">
        <f>IF(F54+SUM(E$17:E54)=D$10,F54,D$10-SUM(E$17:E54))</f>
        <v>3941.822599078263</v>
      </c>
      <c r="E55" s="484">
        <f>IF(+I14&lt;F54,I14,D55)</f>
        <v>526.11904761904759</v>
      </c>
      <c r="F55" s="485">
        <f t="shared" si="19"/>
        <v>3415.7035514592153</v>
      </c>
      <c r="G55" s="486">
        <f t="shared" si="25"/>
        <v>894.11904761904759</v>
      </c>
      <c r="H55" s="455">
        <f t="shared" si="26"/>
        <v>894.11904761904759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>
      <c r="B56" s="160" t="str">
        <f t="shared" si="24"/>
        <v/>
      </c>
      <c r="C56" s="472">
        <f>IF(D11="","-",+C55+1)</f>
        <v>2049</v>
      </c>
      <c r="D56" s="485">
        <f>IF(F55+SUM(E$17:E55)=D$10,F55,D$10-SUM(E$17:E55))</f>
        <v>3415.7035514592153</v>
      </c>
      <c r="E56" s="484">
        <f>IF(+I14&lt;F55,I14,D56)</f>
        <v>526.11904761904759</v>
      </c>
      <c r="F56" s="485">
        <f t="shared" si="19"/>
        <v>2889.5845038401676</v>
      </c>
      <c r="G56" s="486">
        <f t="shared" si="25"/>
        <v>838.11904761904759</v>
      </c>
      <c r="H56" s="455">
        <f t="shared" si="26"/>
        <v>838.11904761904759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>
      <c r="B57" s="160" t="str">
        <f t="shared" si="24"/>
        <v/>
      </c>
      <c r="C57" s="472">
        <f>IF(D11="","-",+C56+1)</f>
        <v>2050</v>
      </c>
      <c r="D57" s="485">
        <f>IF(F56+SUM(E$17:E56)=D$10,F56,D$10-SUM(E$17:E56))</f>
        <v>2889.5845038401676</v>
      </c>
      <c r="E57" s="484">
        <f>IF(+I14&lt;F56,I14,D57)</f>
        <v>526.11904761904759</v>
      </c>
      <c r="F57" s="485">
        <f t="shared" si="19"/>
        <v>2363.4654562211199</v>
      </c>
      <c r="G57" s="486">
        <f t="shared" si="25"/>
        <v>781.11904761904759</v>
      </c>
      <c r="H57" s="455">
        <f t="shared" si="26"/>
        <v>781.11904761904759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>
      <c r="B58" s="160" t="str">
        <f t="shared" si="24"/>
        <v/>
      </c>
      <c r="C58" s="472">
        <f>IF(D11="","-",+C57+1)</f>
        <v>2051</v>
      </c>
      <c r="D58" s="485">
        <f>IF(F57+SUM(E$17:E57)=D$10,F57,D$10-SUM(E$17:E57))</f>
        <v>2363.4654562211199</v>
      </c>
      <c r="E58" s="484">
        <f>IF(+I14&lt;F57,I14,D58)</f>
        <v>526.11904761904759</v>
      </c>
      <c r="F58" s="485">
        <f t="shared" si="19"/>
        <v>1837.3464086020722</v>
      </c>
      <c r="G58" s="486">
        <f t="shared" si="25"/>
        <v>724.11904761904759</v>
      </c>
      <c r="H58" s="455">
        <f t="shared" si="26"/>
        <v>724.11904761904759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>
      <c r="B59" s="160" t="str">
        <f t="shared" si="24"/>
        <v/>
      </c>
      <c r="C59" s="472">
        <f>IF(D11="","-",+C58+1)</f>
        <v>2052</v>
      </c>
      <c r="D59" s="485">
        <f>IF(F58+SUM(E$17:E58)=D$10,F58,D$10-SUM(E$17:E58))</f>
        <v>1837.3464086020722</v>
      </c>
      <c r="E59" s="484">
        <f>IF(+I14&lt;F58,I14,D59)</f>
        <v>526.11904761904759</v>
      </c>
      <c r="F59" s="485">
        <f t="shared" si="19"/>
        <v>1311.2273609830245</v>
      </c>
      <c r="G59" s="486">
        <f t="shared" si="25"/>
        <v>667.11904761904759</v>
      </c>
      <c r="H59" s="455">
        <f t="shared" si="26"/>
        <v>667.11904761904759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>
      <c r="B60" s="160" t="str">
        <f t="shared" si="24"/>
        <v/>
      </c>
      <c r="C60" s="472">
        <f>IF(D11="","-",+C59+1)</f>
        <v>2053</v>
      </c>
      <c r="D60" s="485">
        <f>IF(F59+SUM(E$17:E59)=D$10,F59,D$10-SUM(E$17:E59))</f>
        <v>1311.2273609830245</v>
      </c>
      <c r="E60" s="484">
        <f>IF(+I14&lt;F59,I14,D60)</f>
        <v>526.11904761904759</v>
      </c>
      <c r="F60" s="485">
        <f t="shared" si="19"/>
        <v>785.10831336397689</v>
      </c>
      <c r="G60" s="486">
        <f t="shared" si="25"/>
        <v>611.11904761904759</v>
      </c>
      <c r="H60" s="455">
        <f t="shared" si="26"/>
        <v>611.11904761904759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>
      <c r="B61" s="160" t="str">
        <f t="shared" si="24"/>
        <v/>
      </c>
      <c r="C61" s="472">
        <f>IF(D11="","-",+C60+1)</f>
        <v>2054</v>
      </c>
      <c r="D61" s="485">
        <f>IF(F60+SUM(E$17:E60)=D$10,F60,D$10-SUM(E$17:E60))</f>
        <v>785.10831336397689</v>
      </c>
      <c r="E61" s="484">
        <f>IF(+I14&lt;F60,I14,D61)</f>
        <v>526.11904761904759</v>
      </c>
      <c r="F61" s="485">
        <f t="shared" si="19"/>
        <v>258.9892657449293</v>
      </c>
      <c r="G61" s="488">
        <f t="shared" si="25"/>
        <v>554.11904761904759</v>
      </c>
      <c r="H61" s="455">
        <f t="shared" si="26"/>
        <v>554.11904761904759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>
      <c r="B62" s="160" t="str">
        <f t="shared" si="24"/>
        <v/>
      </c>
      <c r="C62" s="472">
        <f>IF(D11="","-",+C61+1)</f>
        <v>2055</v>
      </c>
      <c r="D62" s="485">
        <f>IF(F61+SUM(E$17:E61)=D$10,F61,D$10-SUM(E$17:E61))</f>
        <v>258.9892657449293</v>
      </c>
      <c r="E62" s="484">
        <f>IF(+I14&lt;F61,I14,D62)</f>
        <v>258.9892657449293</v>
      </c>
      <c r="F62" s="485">
        <f t="shared" si="19"/>
        <v>0</v>
      </c>
      <c r="G62" s="488">
        <f t="shared" si="25"/>
        <v>258.9892657449293</v>
      </c>
      <c r="H62" s="455">
        <f t="shared" si="26"/>
        <v>258.9892657449293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>
      <c r="B63" s="160" t="str">
        <f t="shared" si="24"/>
        <v/>
      </c>
      <c r="C63" s="472">
        <f>IF(D11="","-",+C62+1)</f>
        <v>2056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9"/>
        <v>0</v>
      </c>
      <c r="G63" s="488">
        <f t="shared" si="25"/>
        <v>0</v>
      </c>
      <c r="H63" s="455">
        <f t="shared" si="26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>
      <c r="B64" s="160" t="str">
        <f t="shared" si="24"/>
        <v/>
      </c>
      <c r="C64" s="472">
        <f>IF(D11="","-",+C63+1)</f>
        <v>2057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9"/>
        <v>0</v>
      </c>
      <c r="G64" s="488">
        <f t="shared" si="25"/>
        <v>0</v>
      </c>
      <c r="H64" s="455">
        <f t="shared" si="26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>
      <c r="B65" s="160" t="str">
        <f t="shared" si="24"/>
        <v/>
      </c>
      <c r="C65" s="472">
        <f>IF(D11="","-",+C64+1)</f>
        <v>2058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9"/>
        <v>0</v>
      </c>
      <c r="G65" s="488">
        <f t="shared" si="25"/>
        <v>0</v>
      </c>
      <c r="H65" s="455">
        <f t="shared" si="26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>
      <c r="B66" s="160" t="str">
        <f t="shared" si="24"/>
        <v/>
      </c>
      <c r="C66" s="472">
        <f>IF(D11="","-",+C65+1)</f>
        <v>2059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9"/>
        <v>0</v>
      </c>
      <c r="G66" s="488">
        <f t="shared" si="25"/>
        <v>0</v>
      </c>
      <c r="H66" s="455">
        <f t="shared" si="26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>
      <c r="B67" s="160" t="str">
        <f t="shared" si="24"/>
        <v/>
      </c>
      <c r="C67" s="472">
        <f>IF(D11="","-",+C66+1)</f>
        <v>2060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9"/>
        <v>0</v>
      </c>
      <c r="G67" s="488">
        <f t="shared" si="25"/>
        <v>0</v>
      </c>
      <c r="H67" s="455">
        <f t="shared" si="26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>
      <c r="B68" s="160" t="str">
        <f t="shared" si="24"/>
        <v/>
      </c>
      <c r="C68" s="472">
        <f>IF(D11="","-",+C67+1)</f>
        <v>2061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9"/>
        <v>0</v>
      </c>
      <c r="G68" s="488">
        <f t="shared" si="25"/>
        <v>0</v>
      </c>
      <c r="H68" s="455">
        <f t="shared" si="26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>
      <c r="B69" s="160" t="str">
        <f t="shared" si="24"/>
        <v/>
      </c>
      <c r="C69" s="472">
        <f>IF(D11="","-",+C68+1)</f>
        <v>2062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9"/>
        <v>0</v>
      </c>
      <c r="G69" s="488">
        <f t="shared" si="25"/>
        <v>0</v>
      </c>
      <c r="H69" s="455">
        <f t="shared" si="26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>
      <c r="B70" s="160" t="str">
        <f t="shared" si="24"/>
        <v/>
      </c>
      <c r="C70" s="472">
        <f>IF(D11="","-",+C69+1)</f>
        <v>2063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9"/>
        <v>0</v>
      </c>
      <c r="G70" s="488">
        <f t="shared" si="25"/>
        <v>0</v>
      </c>
      <c r="H70" s="455">
        <f t="shared" si="26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>
      <c r="B71" s="160" t="str">
        <f t="shared" si="24"/>
        <v/>
      </c>
      <c r="C71" s="472">
        <f>IF(D11="","-",+C70+1)</f>
        <v>2064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9"/>
        <v>0</v>
      </c>
      <c r="G71" s="488">
        <f t="shared" si="25"/>
        <v>0</v>
      </c>
      <c r="H71" s="455">
        <f t="shared" si="26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.5" thickBot="1">
      <c r="B72" s="160" t="str">
        <f t="shared" si="24"/>
        <v/>
      </c>
      <c r="C72" s="489">
        <f>IF(D11="","-",+C71+1)</f>
        <v>2065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9"/>
        <v>0</v>
      </c>
      <c r="G72" s="492">
        <f t="shared" si="25"/>
        <v>0</v>
      </c>
      <c r="H72" s="435">
        <f t="shared" si="26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>
      <c r="C73" s="346" t="s">
        <v>77</v>
      </c>
      <c r="D73" s="347"/>
      <c r="E73" s="347">
        <f>SUM(E17:E72)</f>
        <v>22096.999999999985</v>
      </c>
      <c r="F73" s="347"/>
      <c r="G73" s="347">
        <f>SUM(G17:G72)</f>
        <v>78309.989946362155</v>
      </c>
      <c r="H73" s="347">
        <f>SUM(H17:H72)</f>
        <v>78309.989946362155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13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2519.8053226007855</v>
      </c>
      <c r="N87" s="508">
        <f>IF(J92&lt;D11,0,VLOOKUP(J92,C17:O72,11))</f>
        <v>2519.8053226007855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2628.4939297021565</v>
      </c>
      <c r="N88" s="512">
        <f>IF(J92&lt;D11,0,VLOOKUP(J92,C99:P154,7))</f>
        <v>2628.4939297021565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CoffeyvilleT to Dearing 138 kv Rebuild - 1.1 mi*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108.68860710137096</v>
      </c>
      <c r="N89" s="517">
        <f>+N88-N87</f>
        <v>108.68860710137096</v>
      </c>
      <c r="O89" s="518">
        <f>+O88-O87</f>
        <v>0</v>
      </c>
      <c r="P89" s="232"/>
    </row>
    <row r="90" spans="1:16" ht="13.5" thickBot="1">
      <c r="C90" s="496"/>
      <c r="D90" s="519" t="str">
        <f>D8</f>
        <v>DOES NOT MEET SPP $100,000 MINIMUM INVESTMENT FOR REGIONAL BPU SHARING.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TP2008013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22097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526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590">
        <f>D93</f>
        <v>2010</v>
      </c>
      <c r="D99" s="591">
        <v>0</v>
      </c>
      <c r="E99" s="592">
        <v>0</v>
      </c>
      <c r="F99" s="592">
        <v>0</v>
      </c>
      <c r="G99" s="592">
        <v>0</v>
      </c>
      <c r="H99" s="593">
        <v>0</v>
      </c>
      <c r="I99" s="592">
        <v>0</v>
      </c>
      <c r="J99" s="594">
        <v>0</v>
      </c>
      <c r="K99" s="478"/>
      <c r="L99" s="567">
        <f t="shared" ref="L99:L104" si="27">H99</f>
        <v>0</v>
      </c>
      <c r="M99" s="568">
        <f t="shared" ref="M99:M104" si="28">IF(L99&lt;&gt;0,+H99-L99,0)</f>
        <v>0</v>
      </c>
      <c r="N99" s="567">
        <f t="shared" ref="N99:N104" si="29">I99</f>
        <v>0</v>
      </c>
      <c r="O99" s="477">
        <f t="shared" ref="O99:O104" si="30">IF(N99&lt;&gt;0,+I99-N99,0)</f>
        <v>0</v>
      </c>
      <c r="P99" s="477">
        <f t="shared" ref="P99:P104" si="31">+O99-M99</f>
        <v>0</v>
      </c>
    </row>
    <row r="100" spans="1:16">
      <c r="C100" s="472">
        <f>IF(D91="","-",+C99+1)</f>
        <v>2011</v>
      </c>
      <c r="D100" s="595">
        <v>0</v>
      </c>
      <c r="E100" s="596">
        <v>0</v>
      </c>
      <c r="F100" s="596">
        <v>0</v>
      </c>
      <c r="G100" s="596">
        <v>0</v>
      </c>
      <c r="H100" s="597">
        <v>0</v>
      </c>
      <c r="I100" s="596">
        <v>0</v>
      </c>
      <c r="J100" s="598">
        <v>0</v>
      </c>
      <c r="K100" s="478"/>
      <c r="L100" s="540">
        <f t="shared" si="27"/>
        <v>0</v>
      </c>
      <c r="M100" s="541">
        <f t="shared" si="28"/>
        <v>0</v>
      </c>
      <c r="N100" s="540">
        <f t="shared" si="29"/>
        <v>0</v>
      </c>
      <c r="O100" s="478">
        <f t="shared" si="30"/>
        <v>0</v>
      </c>
      <c r="P100" s="478">
        <f t="shared" si="31"/>
        <v>0</v>
      </c>
    </row>
    <row r="101" spans="1:16">
      <c r="C101" s="472">
        <f>IF(D92="","-",+C100+1)</f>
        <v>2012</v>
      </c>
      <c r="D101" s="578">
        <v>22097</v>
      </c>
      <c r="E101" s="579">
        <v>212.5</v>
      </c>
      <c r="F101" s="580">
        <v>21884.5</v>
      </c>
      <c r="G101" s="580">
        <v>21990.75</v>
      </c>
      <c r="H101" s="582">
        <v>3375.9899363381005</v>
      </c>
      <c r="I101" s="583">
        <v>3375.9899363381005</v>
      </c>
      <c r="J101" s="478">
        <v>0</v>
      </c>
      <c r="K101" s="478"/>
      <c r="L101" s="540">
        <f t="shared" si="27"/>
        <v>3375.9899363381005</v>
      </c>
      <c r="M101" s="541">
        <f t="shared" si="28"/>
        <v>0</v>
      </c>
      <c r="N101" s="540">
        <f t="shared" si="29"/>
        <v>3375.9899363381005</v>
      </c>
      <c r="O101" s="478">
        <f t="shared" si="30"/>
        <v>0</v>
      </c>
      <c r="P101" s="478">
        <f t="shared" si="31"/>
        <v>0</v>
      </c>
    </row>
    <row r="102" spans="1:16">
      <c r="B102" s="160" t="str">
        <f t="shared" ref="B102:B133" si="32">IF(D102=F101,"","IU")</f>
        <v/>
      </c>
      <c r="C102" s="472">
        <f>IF(D93="","-",+C101+1)</f>
        <v>2013</v>
      </c>
      <c r="D102" s="578">
        <v>21884.5</v>
      </c>
      <c r="E102" s="579">
        <v>425</v>
      </c>
      <c r="F102" s="580">
        <v>21459.5</v>
      </c>
      <c r="G102" s="580">
        <v>21672</v>
      </c>
      <c r="H102" s="582">
        <v>3544.458879858515</v>
      </c>
      <c r="I102" s="583">
        <v>3544.458879858515</v>
      </c>
      <c r="J102" s="478">
        <v>0</v>
      </c>
      <c r="K102" s="478"/>
      <c r="L102" s="540">
        <f t="shared" si="27"/>
        <v>3544.458879858515</v>
      </c>
      <c r="M102" s="541">
        <f t="shared" si="28"/>
        <v>0</v>
      </c>
      <c r="N102" s="540">
        <f t="shared" si="29"/>
        <v>3544.458879858515</v>
      </c>
      <c r="O102" s="478">
        <f t="shared" si="30"/>
        <v>0</v>
      </c>
      <c r="P102" s="478">
        <f t="shared" si="31"/>
        <v>0</v>
      </c>
    </row>
    <row r="103" spans="1:16">
      <c r="B103" s="160" t="str">
        <f t="shared" si="32"/>
        <v/>
      </c>
      <c r="C103" s="472">
        <f>IF(D93="","-",+C102+1)</f>
        <v>2014</v>
      </c>
      <c r="D103" s="578">
        <v>21459.5</v>
      </c>
      <c r="E103" s="579">
        <v>425</v>
      </c>
      <c r="F103" s="580">
        <v>21034.5</v>
      </c>
      <c r="G103" s="580">
        <v>21247</v>
      </c>
      <c r="H103" s="582">
        <v>3412.2413474199548</v>
      </c>
      <c r="I103" s="583">
        <v>3412.2413474199548</v>
      </c>
      <c r="J103" s="478">
        <v>0</v>
      </c>
      <c r="K103" s="478"/>
      <c r="L103" s="540">
        <f t="shared" si="27"/>
        <v>3412.2413474199548</v>
      </c>
      <c r="M103" s="541">
        <f t="shared" si="28"/>
        <v>0</v>
      </c>
      <c r="N103" s="540">
        <f t="shared" si="29"/>
        <v>3412.2413474199548</v>
      </c>
      <c r="O103" s="478">
        <f t="shared" si="30"/>
        <v>0</v>
      </c>
      <c r="P103" s="478">
        <f t="shared" si="31"/>
        <v>0</v>
      </c>
    </row>
    <row r="104" spans="1:16">
      <c r="B104" s="160" t="str">
        <f t="shared" si="32"/>
        <v/>
      </c>
      <c r="C104" s="472">
        <f>IF(D93="","-",+C103+1)</f>
        <v>2015</v>
      </c>
      <c r="D104" s="578">
        <v>21034.5</v>
      </c>
      <c r="E104" s="579">
        <v>425</v>
      </c>
      <c r="F104" s="580">
        <v>20609.5</v>
      </c>
      <c r="G104" s="580">
        <v>20822</v>
      </c>
      <c r="H104" s="582">
        <v>3265.9944828697971</v>
      </c>
      <c r="I104" s="583">
        <v>3265.9944828697971</v>
      </c>
      <c r="J104" s="478">
        <f t="shared" ref="J104:J132" si="33">+I104-H104</f>
        <v>0</v>
      </c>
      <c r="K104" s="478"/>
      <c r="L104" s="540">
        <f t="shared" si="27"/>
        <v>3265.9944828697971</v>
      </c>
      <c r="M104" s="541">
        <f t="shared" si="28"/>
        <v>0</v>
      </c>
      <c r="N104" s="540">
        <f t="shared" si="29"/>
        <v>3265.9944828697971</v>
      </c>
      <c r="O104" s="478">
        <f t="shared" si="30"/>
        <v>0</v>
      </c>
      <c r="P104" s="478">
        <f t="shared" si="31"/>
        <v>0</v>
      </c>
    </row>
    <row r="105" spans="1:16">
      <c r="B105" s="160" t="str">
        <f t="shared" si="32"/>
        <v/>
      </c>
      <c r="C105" s="472">
        <f>IF(D93="","-",+C104+1)</f>
        <v>2016</v>
      </c>
      <c r="D105" s="578">
        <v>20609.5</v>
      </c>
      <c r="E105" s="579">
        <v>480</v>
      </c>
      <c r="F105" s="580">
        <v>20129.5</v>
      </c>
      <c r="G105" s="580">
        <v>20369.5</v>
      </c>
      <c r="H105" s="582">
        <v>3105.9493466960757</v>
      </c>
      <c r="I105" s="583">
        <v>3105.9493466960757</v>
      </c>
      <c r="J105" s="478">
        <f t="shared" si="33"/>
        <v>0</v>
      </c>
      <c r="K105" s="478"/>
      <c r="L105" s="540">
        <f>H105</f>
        <v>3105.9493466960757</v>
      </c>
      <c r="M105" s="541">
        <f>IF(L105&lt;&gt;0,+H105-L105,0)</f>
        <v>0</v>
      </c>
      <c r="N105" s="540">
        <f>I105</f>
        <v>3105.9493466960757</v>
      </c>
      <c r="O105" s="478">
        <f>IF(N105&lt;&gt;0,+I105-N105,0)</f>
        <v>0</v>
      </c>
      <c r="P105" s="478">
        <f>+O105-M105</f>
        <v>0</v>
      </c>
    </row>
    <row r="106" spans="1:16">
      <c r="B106" s="160" t="str">
        <f t="shared" si="32"/>
        <v/>
      </c>
      <c r="C106" s="472">
        <f>IF(D93="","-",+C105+1)</f>
        <v>2017</v>
      </c>
      <c r="D106" s="578">
        <v>20129.5</v>
      </c>
      <c r="E106" s="579">
        <v>480</v>
      </c>
      <c r="F106" s="580">
        <v>19649.5</v>
      </c>
      <c r="G106" s="580">
        <v>19889.5</v>
      </c>
      <c r="H106" s="582">
        <v>3003.0332263920673</v>
      </c>
      <c r="I106" s="583">
        <v>3003.0332263920673</v>
      </c>
      <c r="J106" s="478">
        <f t="shared" si="33"/>
        <v>0</v>
      </c>
      <c r="K106" s="478"/>
      <c r="L106" s="540">
        <f>H106</f>
        <v>3003.0332263920673</v>
      </c>
      <c r="M106" s="541">
        <f>IF(L106&lt;&gt;0,+H106-L106,0)</f>
        <v>0</v>
      </c>
      <c r="N106" s="540">
        <f>I106</f>
        <v>3003.0332263920673</v>
      </c>
      <c r="O106" s="478">
        <f>IF(N106&lt;&gt;0,+I106-N106,0)</f>
        <v>0</v>
      </c>
      <c r="P106" s="478">
        <f>+O106-M106</f>
        <v>0</v>
      </c>
    </row>
    <row r="107" spans="1:16">
      <c r="B107" s="160" t="str">
        <f t="shared" si="32"/>
        <v/>
      </c>
      <c r="C107" s="472">
        <f>IF(D93="","-",+C106+1)</f>
        <v>2018</v>
      </c>
      <c r="D107" s="578">
        <v>19649.5</v>
      </c>
      <c r="E107" s="579">
        <v>514</v>
      </c>
      <c r="F107" s="580">
        <v>19135.5</v>
      </c>
      <c r="G107" s="580">
        <v>19392.5</v>
      </c>
      <c r="H107" s="582">
        <v>2506.299479691007</v>
      </c>
      <c r="I107" s="583">
        <v>2506.299479691007</v>
      </c>
      <c r="J107" s="478">
        <f t="shared" si="33"/>
        <v>0</v>
      </c>
      <c r="K107" s="478"/>
      <c r="L107" s="540">
        <f>H107</f>
        <v>2506.299479691007</v>
      </c>
      <c r="M107" s="541">
        <f>IF(L107&lt;&gt;0,+H107-L107,0)</f>
        <v>0</v>
      </c>
      <c r="N107" s="540">
        <f>I107</f>
        <v>2506.299479691007</v>
      </c>
      <c r="O107" s="478">
        <f>IF(N107&lt;&gt;0,+I107-N107,0)</f>
        <v>0</v>
      </c>
      <c r="P107" s="478">
        <f>+O107-M107</f>
        <v>0</v>
      </c>
    </row>
    <row r="108" spans="1:16">
      <c r="B108" s="160" t="str">
        <f t="shared" si="32"/>
        <v/>
      </c>
      <c r="C108" s="472">
        <f>IF(D93="","-",+C107+1)</f>
        <v>2019</v>
      </c>
      <c r="D108" s="578">
        <v>19135.5</v>
      </c>
      <c r="E108" s="579">
        <v>539</v>
      </c>
      <c r="F108" s="580">
        <v>18596.5</v>
      </c>
      <c r="G108" s="580">
        <v>18866</v>
      </c>
      <c r="H108" s="582">
        <v>2484.3492160371716</v>
      </c>
      <c r="I108" s="583">
        <v>2484.3492160371716</v>
      </c>
      <c r="J108" s="478">
        <f t="shared" si="33"/>
        <v>0</v>
      </c>
      <c r="K108" s="478"/>
      <c r="L108" s="540">
        <f>H108</f>
        <v>2484.3492160371716</v>
      </c>
      <c r="M108" s="541">
        <f>IF(L108&lt;&gt;0,+H108-L108,0)</f>
        <v>0</v>
      </c>
      <c r="N108" s="540">
        <f>I108</f>
        <v>2484.3492160371716</v>
      </c>
      <c r="O108" s="478">
        <f>IF(N108&lt;&gt;0,+I108-N108,0)</f>
        <v>0</v>
      </c>
      <c r="P108" s="478">
        <f t="shared" ref="P108:P109" si="34">+O108-M108</f>
        <v>0</v>
      </c>
    </row>
    <row r="109" spans="1:16">
      <c r="B109" s="160" t="str">
        <f t="shared" si="32"/>
        <v/>
      </c>
      <c r="C109" s="472">
        <f>IF(D93="","-",+C108+1)</f>
        <v>2020</v>
      </c>
      <c r="D109" s="578">
        <v>18596.5</v>
      </c>
      <c r="E109" s="579">
        <v>514</v>
      </c>
      <c r="F109" s="580">
        <v>18082.5</v>
      </c>
      <c r="G109" s="580">
        <v>18339.5</v>
      </c>
      <c r="H109" s="582">
        <v>2628.4939297021565</v>
      </c>
      <c r="I109" s="583">
        <v>2628.4939297021565</v>
      </c>
      <c r="J109" s="478">
        <f t="shared" si="33"/>
        <v>0</v>
      </c>
      <c r="K109" s="478"/>
      <c r="L109" s="540">
        <f>H109</f>
        <v>2628.4939297021565</v>
      </c>
      <c r="M109" s="541">
        <f>IF(L109&lt;&gt;0,+H109-L109,0)</f>
        <v>0</v>
      </c>
      <c r="N109" s="540">
        <f>I109</f>
        <v>2628.4939297021565</v>
      </c>
      <c r="O109" s="478">
        <f>IF(N109&lt;&gt;0,+I109-N109,0)</f>
        <v>0</v>
      </c>
      <c r="P109" s="478">
        <f t="shared" si="34"/>
        <v>0</v>
      </c>
    </row>
    <row r="110" spans="1:16">
      <c r="B110" s="160" t="str">
        <f t="shared" si="32"/>
        <v/>
      </c>
      <c r="C110" s="472">
        <f>IF(D93="","-",+C109+1)</f>
        <v>2021</v>
      </c>
      <c r="D110" s="346">
        <f>IF(F109+SUM(E$101:E109)=D$92,F109,D$92-SUM(E$101:E109))</f>
        <v>18082.5</v>
      </c>
      <c r="E110" s="486">
        <f>IF(+J96&lt;F109,J96,D110)</f>
        <v>526</v>
      </c>
      <c r="F110" s="485">
        <f t="shared" ref="F110:F133" si="35">+D110-E110</f>
        <v>17556.5</v>
      </c>
      <c r="G110" s="485">
        <f t="shared" ref="G110:G132" si="36">+(F110+D110)/2</f>
        <v>17819.5</v>
      </c>
      <c r="H110" s="488">
        <f t="shared" ref="H110:H132" si="37">+J$94*G110+E110</f>
        <v>2447.1424946623238</v>
      </c>
      <c r="I110" s="542">
        <f t="shared" ref="I110:I132" si="38">+J$95*G110+E110</f>
        <v>2447.1424946623238</v>
      </c>
      <c r="J110" s="478">
        <f t="shared" si="33"/>
        <v>0</v>
      </c>
      <c r="K110" s="478"/>
      <c r="L110" s="487"/>
      <c r="M110" s="478">
        <f t="shared" ref="M110:M130" si="39">IF(L110&lt;&gt;0,+H112-L110,0)</f>
        <v>0</v>
      </c>
      <c r="N110" s="487"/>
      <c r="O110" s="478">
        <f t="shared" ref="O110:O154" si="40">IF(N110&lt;&gt;0,+I110-N110,0)</f>
        <v>0</v>
      </c>
      <c r="P110" s="478">
        <f t="shared" ref="P110:P154" si="41">+O110-M110</f>
        <v>0</v>
      </c>
    </row>
    <row r="111" spans="1:16">
      <c r="B111" s="160" t="str">
        <f t="shared" si="32"/>
        <v/>
      </c>
      <c r="C111" s="472">
        <f>IF(D93="","-",+C110+1)</f>
        <v>2022</v>
      </c>
      <c r="D111" s="346">
        <f>IF(F110+SUM(E$101:E110)=D$92,F110,D$92-SUM(E$101:E110))</f>
        <v>17556.5</v>
      </c>
      <c r="E111" s="486">
        <f>IF(+J96&lt;F110,J96,D111)</f>
        <v>526</v>
      </c>
      <c r="F111" s="485">
        <f t="shared" si="35"/>
        <v>17030.5</v>
      </c>
      <c r="G111" s="485">
        <f t="shared" si="36"/>
        <v>17293.5</v>
      </c>
      <c r="H111" s="488">
        <f t="shared" si="37"/>
        <v>2390.4337793677096</v>
      </c>
      <c r="I111" s="542">
        <f t="shared" si="38"/>
        <v>2390.4337793677096</v>
      </c>
      <c r="J111" s="478">
        <f t="shared" si="33"/>
        <v>0</v>
      </c>
      <c r="K111" s="478"/>
      <c r="L111" s="487"/>
      <c r="M111" s="478">
        <f t="shared" si="39"/>
        <v>0</v>
      </c>
      <c r="N111" s="487"/>
      <c r="O111" s="478">
        <f t="shared" si="40"/>
        <v>0</v>
      </c>
      <c r="P111" s="478">
        <f t="shared" si="41"/>
        <v>0</v>
      </c>
    </row>
    <row r="112" spans="1:16">
      <c r="B112" s="160" t="str">
        <f t="shared" si="32"/>
        <v/>
      </c>
      <c r="C112" s="472">
        <f>IF(D93="","-",+C111+1)</f>
        <v>2023</v>
      </c>
      <c r="D112" s="346">
        <f>IF(F111+SUM(E$101:E111)=D$92,F111,D$92-SUM(E$101:E111))</f>
        <v>17030.5</v>
      </c>
      <c r="E112" s="486">
        <f>IF(+J96&lt;F111,J96,D112)</f>
        <v>526</v>
      </c>
      <c r="F112" s="485">
        <f t="shared" si="35"/>
        <v>16504.5</v>
      </c>
      <c r="G112" s="485">
        <f t="shared" si="36"/>
        <v>16767.5</v>
      </c>
      <c r="H112" s="488">
        <f t="shared" si="37"/>
        <v>2333.7250640730949</v>
      </c>
      <c r="I112" s="542">
        <f t="shared" si="38"/>
        <v>2333.7250640730949</v>
      </c>
      <c r="J112" s="478">
        <f t="shared" si="33"/>
        <v>0</v>
      </c>
      <c r="K112" s="478"/>
      <c r="L112" s="487"/>
      <c r="M112" s="478">
        <f t="shared" si="39"/>
        <v>0</v>
      </c>
      <c r="N112" s="487"/>
      <c r="O112" s="478">
        <f t="shared" si="40"/>
        <v>0</v>
      </c>
      <c r="P112" s="478">
        <f t="shared" si="41"/>
        <v>0</v>
      </c>
    </row>
    <row r="113" spans="2:16">
      <c r="B113" s="160" t="str">
        <f t="shared" si="32"/>
        <v/>
      </c>
      <c r="C113" s="472">
        <f>IF(D93="","-",+C112+1)</f>
        <v>2024</v>
      </c>
      <c r="D113" s="346">
        <f>IF(F112+SUM(E$101:E112)=D$92,F112,D$92-SUM(E$101:E112))</f>
        <v>16504.5</v>
      </c>
      <c r="E113" s="486">
        <f>IF(+J96&lt;F112,J96,D113)</f>
        <v>526</v>
      </c>
      <c r="F113" s="485">
        <f t="shared" si="35"/>
        <v>15978.5</v>
      </c>
      <c r="G113" s="485">
        <f t="shared" si="36"/>
        <v>16241.5</v>
      </c>
      <c r="H113" s="488">
        <f t="shared" si="37"/>
        <v>2277.0163487784803</v>
      </c>
      <c r="I113" s="542">
        <f t="shared" si="38"/>
        <v>2277.0163487784803</v>
      </c>
      <c r="J113" s="478">
        <f t="shared" si="33"/>
        <v>0</v>
      </c>
      <c r="K113" s="478"/>
      <c r="L113" s="487"/>
      <c r="M113" s="478">
        <f t="shared" si="39"/>
        <v>0</v>
      </c>
      <c r="N113" s="487"/>
      <c r="O113" s="478">
        <f t="shared" si="40"/>
        <v>0</v>
      </c>
      <c r="P113" s="478">
        <f t="shared" si="41"/>
        <v>0</v>
      </c>
    </row>
    <row r="114" spans="2:16">
      <c r="B114" s="160" t="str">
        <f t="shared" si="32"/>
        <v/>
      </c>
      <c r="C114" s="472">
        <f>IF(D93="","-",+C113+1)</f>
        <v>2025</v>
      </c>
      <c r="D114" s="346">
        <f>IF(F113+SUM(E$101:E113)=D$92,F113,D$92-SUM(E$101:E113))</f>
        <v>15978.5</v>
      </c>
      <c r="E114" s="486">
        <f>IF(+J96&lt;F113,J96,D114)</f>
        <v>526</v>
      </c>
      <c r="F114" s="485">
        <f t="shared" si="35"/>
        <v>15452.5</v>
      </c>
      <c r="G114" s="485">
        <f t="shared" si="36"/>
        <v>15715.5</v>
      </c>
      <c r="H114" s="488">
        <f t="shared" si="37"/>
        <v>2220.3076334838661</v>
      </c>
      <c r="I114" s="542">
        <f t="shared" si="38"/>
        <v>2220.3076334838661</v>
      </c>
      <c r="J114" s="478">
        <f t="shared" si="33"/>
        <v>0</v>
      </c>
      <c r="K114" s="478"/>
      <c r="L114" s="487"/>
      <c r="M114" s="478">
        <f t="shared" si="39"/>
        <v>0</v>
      </c>
      <c r="N114" s="487"/>
      <c r="O114" s="478">
        <f t="shared" si="40"/>
        <v>0</v>
      </c>
      <c r="P114" s="478">
        <f t="shared" si="41"/>
        <v>0</v>
      </c>
    </row>
    <row r="115" spans="2:16">
      <c r="B115" s="160" t="str">
        <f t="shared" si="32"/>
        <v/>
      </c>
      <c r="C115" s="472">
        <f>IF(D93="","-",+C114+1)</f>
        <v>2026</v>
      </c>
      <c r="D115" s="346">
        <f>IF(F114+SUM(E$101:E114)=D$92,F114,D$92-SUM(E$101:E114))</f>
        <v>15452.5</v>
      </c>
      <c r="E115" s="486">
        <f>IF(+J96&lt;F114,J96,D115)</f>
        <v>526</v>
      </c>
      <c r="F115" s="485">
        <f t="shared" si="35"/>
        <v>14926.5</v>
      </c>
      <c r="G115" s="485">
        <f t="shared" si="36"/>
        <v>15189.5</v>
      </c>
      <c r="H115" s="488">
        <f t="shared" si="37"/>
        <v>2163.5989181892514</v>
      </c>
      <c r="I115" s="542">
        <f t="shared" si="38"/>
        <v>2163.5989181892514</v>
      </c>
      <c r="J115" s="478">
        <f t="shared" si="33"/>
        <v>0</v>
      </c>
      <c r="K115" s="478"/>
      <c r="L115" s="487"/>
      <c r="M115" s="478">
        <f t="shared" si="39"/>
        <v>0</v>
      </c>
      <c r="N115" s="487"/>
      <c r="O115" s="478">
        <f t="shared" si="40"/>
        <v>0</v>
      </c>
      <c r="P115" s="478">
        <f t="shared" si="41"/>
        <v>0</v>
      </c>
    </row>
    <row r="116" spans="2:16">
      <c r="B116" s="160" t="str">
        <f t="shared" si="32"/>
        <v/>
      </c>
      <c r="C116" s="472">
        <f>IF(D93="","-",+C115+1)</f>
        <v>2027</v>
      </c>
      <c r="D116" s="346">
        <f>IF(F115+SUM(E$101:E115)=D$92,F115,D$92-SUM(E$101:E115))</f>
        <v>14926.5</v>
      </c>
      <c r="E116" s="486">
        <f>IF(+J96&lt;F115,J96,D116)</f>
        <v>526</v>
      </c>
      <c r="F116" s="485">
        <f t="shared" si="35"/>
        <v>14400.5</v>
      </c>
      <c r="G116" s="485">
        <f t="shared" si="36"/>
        <v>14663.5</v>
      </c>
      <c r="H116" s="488">
        <f t="shared" si="37"/>
        <v>2106.8902028946368</v>
      </c>
      <c r="I116" s="542">
        <f t="shared" si="38"/>
        <v>2106.8902028946368</v>
      </c>
      <c r="J116" s="478">
        <f t="shared" si="33"/>
        <v>0</v>
      </c>
      <c r="K116" s="478"/>
      <c r="L116" s="487"/>
      <c r="M116" s="478">
        <f t="shared" si="39"/>
        <v>0</v>
      </c>
      <c r="N116" s="487"/>
      <c r="O116" s="478">
        <f t="shared" si="40"/>
        <v>0</v>
      </c>
      <c r="P116" s="478">
        <f t="shared" si="41"/>
        <v>0</v>
      </c>
    </row>
    <row r="117" spans="2:16">
      <c r="B117" s="160" t="str">
        <f t="shared" si="32"/>
        <v/>
      </c>
      <c r="C117" s="472">
        <f>IF(D93="","-",+C116+1)</f>
        <v>2028</v>
      </c>
      <c r="D117" s="346">
        <f>IF(F116+SUM(E$101:E116)=D$92,F116,D$92-SUM(E$101:E116))</f>
        <v>14400.5</v>
      </c>
      <c r="E117" s="486">
        <f>IF(+J96&lt;F116,J96,D117)</f>
        <v>526</v>
      </c>
      <c r="F117" s="485">
        <f t="shared" si="35"/>
        <v>13874.5</v>
      </c>
      <c r="G117" s="485">
        <f t="shared" si="36"/>
        <v>14137.5</v>
      </c>
      <c r="H117" s="488">
        <f t="shared" si="37"/>
        <v>2050.1814876000226</v>
      </c>
      <c r="I117" s="542">
        <f t="shared" si="38"/>
        <v>2050.1814876000226</v>
      </c>
      <c r="J117" s="478">
        <f t="shared" si="33"/>
        <v>0</v>
      </c>
      <c r="K117" s="478"/>
      <c r="L117" s="487"/>
      <c r="M117" s="478">
        <f t="shared" si="39"/>
        <v>0</v>
      </c>
      <c r="N117" s="487"/>
      <c r="O117" s="478">
        <f t="shared" si="40"/>
        <v>0</v>
      </c>
      <c r="P117" s="478">
        <f t="shared" si="41"/>
        <v>0</v>
      </c>
    </row>
    <row r="118" spans="2:16">
      <c r="B118" s="160" t="str">
        <f t="shared" si="32"/>
        <v/>
      </c>
      <c r="C118" s="472">
        <f>IF(D93="","-",+C117+1)</f>
        <v>2029</v>
      </c>
      <c r="D118" s="346">
        <f>IF(F117+SUM(E$101:E117)=D$92,F117,D$92-SUM(E$101:E117))</f>
        <v>13874.5</v>
      </c>
      <c r="E118" s="486">
        <f>IF(+J96&lt;F117,J96,D118)</f>
        <v>526</v>
      </c>
      <c r="F118" s="485">
        <f t="shared" si="35"/>
        <v>13348.5</v>
      </c>
      <c r="G118" s="485">
        <f t="shared" si="36"/>
        <v>13611.5</v>
      </c>
      <c r="H118" s="488">
        <f t="shared" si="37"/>
        <v>1993.4727723054082</v>
      </c>
      <c r="I118" s="542">
        <f t="shared" si="38"/>
        <v>1993.4727723054082</v>
      </c>
      <c r="J118" s="478">
        <f t="shared" si="33"/>
        <v>0</v>
      </c>
      <c r="K118" s="478"/>
      <c r="L118" s="487"/>
      <c r="M118" s="478">
        <f t="shared" si="39"/>
        <v>0</v>
      </c>
      <c r="N118" s="487"/>
      <c r="O118" s="478">
        <f t="shared" si="40"/>
        <v>0</v>
      </c>
      <c r="P118" s="478">
        <f t="shared" si="41"/>
        <v>0</v>
      </c>
    </row>
    <row r="119" spans="2:16">
      <c r="B119" s="160" t="str">
        <f t="shared" si="32"/>
        <v/>
      </c>
      <c r="C119" s="472">
        <f>IF(D93="","-",+C118+1)</f>
        <v>2030</v>
      </c>
      <c r="D119" s="346">
        <f>IF(F118+SUM(E$101:E118)=D$92,F118,D$92-SUM(E$101:E118))</f>
        <v>13348.5</v>
      </c>
      <c r="E119" s="486">
        <f t="shared" ref="E119:E154" si="42">IF(+J$96&lt;F118,J$96,D119)</f>
        <v>526</v>
      </c>
      <c r="F119" s="485">
        <f t="shared" si="35"/>
        <v>12822.5</v>
      </c>
      <c r="G119" s="485">
        <f t="shared" si="36"/>
        <v>13085.5</v>
      </c>
      <c r="H119" s="488">
        <f t="shared" si="37"/>
        <v>1936.7640570107937</v>
      </c>
      <c r="I119" s="542">
        <f t="shared" si="38"/>
        <v>1936.7640570107937</v>
      </c>
      <c r="J119" s="478">
        <f t="shared" si="33"/>
        <v>0</v>
      </c>
      <c r="K119" s="478"/>
      <c r="L119" s="487"/>
      <c r="M119" s="478">
        <f t="shared" si="39"/>
        <v>0</v>
      </c>
      <c r="N119" s="487"/>
      <c r="O119" s="478">
        <f t="shared" si="40"/>
        <v>0</v>
      </c>
      <c r="P119" s="478">
        <f t="shared" si="41"/>
        <v>0</v>
      </c>
    </row>
    <row r="120" spans="2:16">
      <c r="B120" s="160" t="str">
        <f t="shared" si="32"/>
        <v/>
      </c>
      <c r="C120" s="472">
        <f>IF(D93="","-",+C119+1)</f>
        <v>2031</v>
      </c>
      <c r="D120" s="346">
        <f>IF(F119+SUM(E$101:E119)=D$92,F119,D$92-SUM(E$101:E119))</f>
        <v>12822.5</v>
      </c>
      <c r="E120" s="486">
        <f t="shared" si="42"/>
        <v>526</v>
      </c>
      <c r="F120" s="485">
        <f t="shared" si="35"/>
        <v>12296.5</v>
      </c>
      <c r="G120" s="485">
        <f t="shared" si="36"/>
        <v>12559.5</v>
      </c>
      <c r="H120" s="488">
        <f t="shared" si="37"/>
        <v>1880.0553417161793</v>
      </c>
      <c r="I120" s="542">
        <f t="shared" si="38"/>
        <v>1880.0553417161793</v>
      </c>
      <c r="J120" s="478">
        <f t="shared" si="33"/>
        <v>0</v>
      </c>
      <c r="K120" s="478"/>
      <c r="L120" s="487"/>
      <c r="M120" s="478">
        <f t="shared" si="39"/>
        <v>0</v>
      </c>
      <c r="N120" s="487"/>
      <c r="O120" s="478">
        <f t="shared" si="40"/>
        <v>0</v>
      </c>
      <c r="P120" s="478">
        <f t="shared" si="41"/>
        <v>0</v>
      </c>
    </row>
    <row r="121" spans="2:16">
      <c r="B121" s="160" t="str">
        <f t="shared" si="32"/>
        <v/>
      </c>
      <c r="C121" s="472">
        <f>IF(D93="","-",+C120+1)</f>
        <v>2032</v>
      </c>
      <c r="D121" s="346">
        <f>IF(F120+SUM(E$101:E120)=D$92,F120,D$92-SUM(E$101:E120))</f>
        <v>12296.5</v>
      </c>
      <c r="E121" s="486">
        <f t="shared" si="42"/>
        <v>526</v>
      </c>
      <c r="F121" s="485">
        <f t="shared" si="35"/>
        <v>11770.5</v>
      </c>
      <c r="G121" s="485">
        <f t="shared" si="36"/>
        <v>12033.5</v>
      </c>
      <c r="H121" s="488">
        <f t="shared" si="37"/>
        <v>1823.3466264215647</v>
      </c>
      <c r="I121" s="542">
        <f t="shared" si="38"/>
        <v>1823.3466264215647</v>
      </c>
      <c r="J121" s="478">
        <f t="shared" si="33"/>
        <v>0</v>
      </c>
      <c r="K121" s="478"/>
      <c r="L121" s="487"/>
      <c r="M121" s="478">
        <f t="shared" si="39"/>
        <v>0</v>
      </c>
      <c r="N121" s="487"/>
      <c r="O121" s="478">
        <f t="shared" si="40"/>
        <v>0</v>
      </c>
      <c r="P121" s="478">
        <f t="shared" si="41"/>
        <v>0</v>
      </c>
    </row>
    <row r="122" spans="2:16">
      <c r="B122" s="160" t="str">
        <f t="shared" si="32"/>
        <v/>
      </c>
      <c r="C122" s="472">
        <f>IF(D93="","-",+C121+1)</f>
        <v>2033</v>
      </c>
      <c r="D122" s="346">
        <f>IF(F121+SUM(E$101:E121)=D$92,F121,D$92-SUM(E$101:E121))</f>
        <v>11770.5</v>
      </c>
      <c r="E122" s="486">
        <f t="shared" si="42"/>
        <v>526</v>
      </c>
      <c r="F122" s="485">
        <f t="shared" si="35"/>
        <v>11244.5</v>
      </c>
      <c r="G122" s="485">
        <f t="shared" si="36"/>
        <v>11507.5</v>
      </c>
      <c r="H122" s="488">
        <f t="shared" si="37"/>
        <v>1766.6379111269503</v>
      </c>
      <c r="I122" s="542">
        <f t="shared" si="38"/>
        <v>1766.6379111269503</v>
      </c>
      <c r="J122" s="478">
        <f t="shared" si="33"/>
        <v>0</v>
      </c>
      <c r="K122" s="478"/>
      <c r="L122" s="487"/>
      <c r="M122" s="478">
        <f t="shared" si="39"/>
        <v>0</v>
      </c>
      <c r="N122" s="487"/>
      <c r="O122" s="478">
        <f t="shared" si="40"/>
        <v>0</v>
      </c>
      <c r="P122" s="478">
        <f t="shared" si="41"/>
        <v>0</v>
      </c>
    </row>
    <row r="123" spans="2:16">
      <c r="B123" s="160" t="str">
        <f t="shared" si="32"/>
        <v/>
      </c>
      <c r="C123" s="472">
        <f>IF(D93="","-",+C122+1)</f>
        <v>2034</v>
      </c>
      <c r="D123" s="346">
        <f>IF(F122+SUM(E$101:E122)=D$92,F122,D$92-SUM(E$101:E122))</f>
        <v>11244.5</v>
      </c>
      <c r="E123" s="486">
        <f t="shared" si="42"/>
        <v>526</v>
      </c>
      <c r="F123" s="485">
        <f t="shared" si="35"/>
        <v>10718.5</v>
      </c>
      <c r="G123" s="485">
        <f t="shared" si="36"/>
        <v>10981.5</v>
      </c>
      <c r="H123" s="488">
        <f t="shared" si="37"/>
        <v>1709.9291958323358</v>
      </c>
      <c r="I123" s="542">
        <f t="shared" si="38"/>
        <v>1709.9291958323358</v>
      </c>
      <c r="J123" s="478">
        <f t="shared" si="33"/>
        <v>0</v>
      </c>
      <c r="K123" s="478"/>
      <c r="L123" s="487"/>
      <c r="M123" s="478">
        <f t="shared" si="39"/>
        <v>0</v>
      </c>
      <c r="N123" s="487"/>
      <c r="O123" s="478">
        <f t="shared" si="40"/>
        <v>0</v>
      </c>
      <c r="P123" s="478">
        <f t="shared" si="41"/>
        <v>0</v>
      </c>
    </row>
    <row r="124" spans="2:16">
      <c r="B124" s="160" t="str">
        <f t="shared" si="32"/>
        <v/>
      </c>
      <c r="C124" s="472">
        <f>IF(D93="","-",+C123+1)</f>
        <v>2035</v>
      </c>
      <c r="D124" s="346">
        <f>IF(F123+SUM(E$101:E123)=D$92,F123,D$92-SUM(E$101:E123))</f>
        <v>10718.5</v>
      </c>
      <c r="E124" s="486">
        <f t="shared" si="42"/>
        <v>526</v>
      </c>
      <c r="F124" s="485">
        <f t="shared" si="35"/>
        <v>10192.5</v>
      </c>
      <c r="G124" s="485">
        <f t="shared" si="36"/>
        <v>10455.5</v>
      </c>
      <c r="H124" s="488">
        <f t="shared" si="37"/>
        <v>1653.2204805377214</v>
      </c>
      <c r="I124" s="542">
        <f t="shared" si="38"/>
        <v>1653.2204805377214</v>
      </c>
      <c r="J124" s="478">
        <f t="shared" si="33"/>
        <v>0</v>
      </c>
      <c r="K124" s="478"/>
      <c r="L124" s="487"/>
      <c r="M124" s="478">
        <f t="shared" si="39"/>
        <v>0</v>
      </c>
      <c r="N124" s="487"/>
      <c r="O124" s="478">
        <f t="shared" si="40"/>
        <v>0</v>
      </c>
      <c r="P124" s="478">
        <f t="shared" si="41"/>
        <v>0</v>
      </c>
    </row>
    <row r="125" spans="2:16">
      <c r="B125" s="160" t="str">
        <f t="shared" si="32"/>
        <v/>
      </c>
      <c r="C125" s="472">
        <f>IF(D93="","-",+C124+1)</f>
        <v>2036</v>
      </c>
      <c r="D125" s="346">
        <f>IF(F124+SUM(E$101:E124)=D$92,F124,D$92-SUM(E$101:E124))</f>
        <v>10192.5</v>
      </c>
      <c r="E125" s="486">
        <f t="shared" si="42"/>
        <v>526</v>
      </c>
      <c r="F125" s="485">
        <f t="shared" si="35"/>
        <v>9666.5</v>
      </c>
      <c r="G125" s="485">
        <f t="shared" si="36"/>
        <v>9929.5</v>
      </c>
      <c r="H125" s="488">
        <f t="shared" si="37"/>
        <v>1596.511765243107</v>
      </c>
      <c r="I125" s="542">
        <f t="shared" si="38"/>
        <v>1596.511765243107</v>
      </c>
      <c r="J125" s="478">
        <f t="shared" si="33"/>
        <v>0</v>
      </c>
      <c r="K125" s="478"/>
      <c r="L125" s="487"/>
      <c r="M125" s="478">
        <f t="shared" si="39"/>
        <v>0</v>
      </c>
      <c r="N125" s="487"/>
      <c r="O125" s="478">
        <f t="shared" si="40"/>
        <v>0</v>
      </c>
      <c r="P125" s="478">
        <f t="shared" si="41"/>
        <v>0</v>
      </c>
    </row>
    <row r="126" spans="2:16">
      <c r="B126" s="160" t="str">
        <f t="shared" si="32"/>
        <v/>
      </c>
      <c r="C126" s="472">
        <f>IF(D93="","-",+C125+1)</f>
        <v>2037</v>
      </c>
      <c r="D126" s="346">
        <f>IF(F125+SUM(E$101:E125)=D$92,F125,D$92-SUM(E$101:E125))</f>
        <v>9666.5</v>
      </c>
      <c r="E126" s="486">
        <f t="shared" si="42"/>
        <v>526</v>
      </c>
      <c r="F126" s="485">
        <f t="shared" si="35"/>
        <v>9140.5</v>
      </c>
      <c r="G126" s="485">
        <f t="shared" si="36"/>
        <v>9403.5</v>
      </c>
      <c r="H126" s="488">
        <f t="shared" si="37"/>
        <v>1539.8030499484926</v>
      </c>
      <c r="I126" s="542">
        <f t="shared" si="38"/>
        <v>1539.8030499484926</v>
      </c>
      <c r="J126" s="478">
        <f t="shared" si="33"/>
        <v>0</v>
      </c>
      <c r="K126" s="478"/>
      <c r="L126" s="487"/>
      <c r="M126" s="478">
        <f t="shared" si="39"/>
        <v>0</v>
      </c>
      <c r="N126" s="487"/>
      <c r="O126" s="478">
        <f t="shared" si="40"/>
        <v>0</v>
      </c>
      <c r="P126" s="478">
        <f t="shared" si="41"/>
        <v>0</v>
      </c>
    </row>
    <row r="127" spans="2:16">
      <c r="B127" s="160" t="str">
        <f t="shared" si="32"/>
        <v/>
      </c>
      <c r="C127" s="472">
        <f>IF(D93="","-",+C126+1)</f>
        <v>2038</v>
      </c>
      <c r="D127" s="346">
        <f>IF(F126+SUM(E$101:E126)=D$92,F126,D$92-SUM(E$101:E126))</f>
        <v>9140.5</v>
      </c>
      <c r="E127" s="486">
        <f t="shared" si="42"/>
        <v>526</v>
      </c>
      <c r="F127" s="485">
        <f t="shared" si="35"/>
        <v>8614.5</v>
      </c>
      <c r="G127" s="485">
        <f t="shared" si="36"/>
        <v>8877.5</v>
      </c>
      <c r="H127" s="488">
        <f t="shared" si="37"/>
        <v>1483.0943346538779</v>
      </c>
      <c r="I127" s="542">
        <f t="shared" si="38"/>
        <v>1483.0943346538779</v>
      </c>
      <c r="J127" s="478">
        <f t="shared" si="33"/>
        <v>0</v>
      </c>
      <c r="K127" s="478"/>
      <c r="L127" s="487"/>
      <c r="M127" s="478">
        <f t="shared" si="39"/>
        <v>0</v>
      </c>
      <c r="N127" s="487"/>
      <c r="O127" s="478">
        <f t="shared" si="40"/>
        <v>0</v>
      </c>
      <c r="P127" s="478">
        <f t="shared" si="41"/>
        <v>0</v>
      </c>
    </row>
    <row r="128" spans="2:16">
      <c r="B128" s="160" t="str">
        <f t="shared" si="32"/>
        <v/>
      </c>
      <c r="C128" s="472">
        <f>IF(D93="","-",+C127+1)</f>
        <v>2039</v>
      </c>
      <c r="D128" s="346">
        <f>IF(F127+SUM(E$101:E127)=D$92,F127,D$92-SUM(E$101:E127))</f>
        <v>8614.5</v>
      </c>
      <c r="E128" s="486">
        <f t="shared" si="42"/>
        <v>526</v>
      </c>
      <c r="F128" s="485">
        <f t="shared" si="35"/>
        <v>8088.5</v>
      </c>
      <c r="G128" s="485">
        <f t="shared" si="36"/>
        <v>8351.5</v>
      </c>
      <c r="H128" s="488">
        <f t="shared" si="37"/>
        <v>1426.3856193592637</v>
      </c>
      <c r="I128" s="542">
        <f t="shared" si="38"/>
        <v>1426.3856193592637</v>
      </c>
      <c r="J128" s="478">
        <f t="shared" si="33"/>
        <v>0</v>
      </c>
      <c r="K128" s="478"/>
      <c r="L128" s="487"/>
      <c r="M128" s="478">
        <f t="shared" si="39"/>
        <v>0</v>
      </c>
      <c r="N128" s="487"/>
      <c r="O128" s="478">
        <f t="shared" si="40"/>
        <v>0</v>
      </c>
      <c r="P128" s="478">
        <f t="shared" si="41"/>
        <v>0</v>
      </c>
    </row>
    <row r="129" spans="2:16">
      <c r="B129" s="160" t="str">
        <f t="shared" si="32"/>
        <v/>
      </c>
      <c r="C129" s="472">
        <f>IF(D93="","-",+C128+1)</f>
        <v>2040</v>
      </c>
      <c r="D129" s="346">
        <f>IF(F128+SUM(E$101:E128)=D$92,F128,D$92-SUM(E$101:E128))</f>
        <v>8088.5</v>
      </c>
      <c r="E129" s="486">
        <f t="shared" si="42"/>
        <v>526</v>
      </c>
      <c r="F129" s="485">
        <f t="shared" si="35"/>
        <v>7562.5</v>
      </c>
      <c r="G129" s="485">
        <f t="shared" si="36"/>
        <v>7825.5</v>
      </c>
      <c r="H129" s="488">
        <f t="shared" si="37"/>
        <v>1369.6769040646491</v>
      </c>
      <c r="I129" s="542">
        <f t="shared" si="38"/>
        <v>1369.6769040646491</v>
      </c>
      <c r="J129" s="478">
        <f t="shared" si="33"/>
        <v>0</v>
      </c>
      <c r="K129" s="478"/>
      <c r="L129" s="487"/>
      <c r="M129" s="478">
        <f t="shared" si="39"/>
        <v>0</v>
      </c>
      <c r="N129" s="487"/>
      <c r="O129" s="478">
        <f t="shared" si="40"/>
        <v>0</v>
      </c>
      <c r="P129" s="478">
        <f t="shared" si="41"/>
        <v>0</v>
      </c>
    </row>
    <row r="130" spans="2:16">
      <c r="B130" s="160" t="str">
        <f t="shared" si="32"/>
        <v/>
      </c>
      <c r="C130" s="472">
        <f>IF(D93="","-",+C129+1)</f>
        <v>2041</v>
      </c>
      <c r="D130" s="346">
        <f>IF(F129+SUM(E$101:E129)=D$92,F129,D$92-SUM(E$101:E129))</f>
        <v>7562.5</v>
      </c>
      <c r="E130" s="486">
        <f t="shared" si="42"/>
        <v>526</v>
      </c>
      <c r="F130" s="485">
        <f t="shared" si="35"/>
        <v>7036.5</v>
      </c>
      <c r="G130" s="485">
        <f t="shared" si="36"/>
        <v>7299.5</v>
      </c>
      <c r="H130" s="488">
        <f t="shared" si="37"/>
        <v>1312.9681887700347</v>
      </c>
      <c r="I130" s="542">
        <f t="shared" si="38"/>
        <v>1312.9681887700347</v>
      </c>
      <c r="J130" s="478">
        <f t="shared" si="33"/>
        <v>0</v>
      </c>
      <c r="K130" s="478"/>
      <c r="L130" s="487"/>
      <c r="M130" s="478">
        <f t="shared" si="39"/>
        <v>0</v>
      </c>
      <c r="N130" s="487"/>
      <c r="O130" s="478">
        <f t="shared" si="40"/>
        <v>0</v>
      </c>
      <c r="P130" s="478">
        <f t="shared" si="41"/>
        <v>0</v>
      </c>
    </row>
    <row r="131" spans="2:16">
      <c r="B131" s="160" t="str">
        <f t="shared" si="32"/>
        <v/>
      </c>
      <c r="C131" s="472">
        <f>IF(D93="","-",+C130+1)</f>
        <v>2042</v>
      </c>
      <c r="D131" s="346">
        <f>IF(F130+SUM(E$101:E130)=D$92,F130,D$92-SUM(E$101:E130))</f>
        <v>7036.5</v>
      </c>
      <c r="E131" s="486">
        <f t="shared" si="42"/>
        <v>526</v>
      </c>
      <c r="F131" s="485">
        <f t="shared" si="35"/>
        <v>6510.5</v>
      </c>
      <c r="G131" s="485">
        <f t="shared" si="36"/>
        <v>6773.5</v>
      </c>
      <c r="H131" s="488">
        <f t="shared" si="37"/>
        <v>1256.2594734754202</v>
      </c>
      <c r="I131" s="542">
        <f t="shared" si="38"/>
        <v>1256.2594734754202</v>
      </c>
      <c r="J131" s="478">
        <f t="shared" si="33"/>
        <v>0</v>
      </c>
      <c r="K131" s="478"/>
      <c r="L131" s="487"/>
      <c r="M131" s="478">
        <f t="shared" ref="M131:M154" si="43">IF(L541&lt;&gt;0,+H541-L541,0)</f>
        <v>0</v>
      </c>
      <c r="N131" s="487"/>
      <c r="O131" s="478">
        <f t="shared" si="40"/>
        <v>0</v>
      </c>
      <c r="P131" s="478">
        <f t="shared" si="41"/>
        <v>0</v>
      </c>
    </row>
    <row r="132" spans="2:16">
      <c r="B132" s="160" t="str">
        <f t="shared" si="32"/>
        <v/>
      </c>
      <c r="C132" s="472">
        <f>IF(D93="","-",+C131+1)</f>
        <v>2043</v>
      </c>
      <c r="D132" s="346">
        <f>IF(F131+SUM(E$101:E131)=D$92,F131,D$92-SUM(E$101:E131))</f>
        <v>6510.5</v>
      </c>
      <c r="E132" s="486">
        <f t="shared" si="42"/>
        <v>526</v>
      </c>
      <c r="F132" s="485">
        <f t="shared" si="35"/>
        <v>5984.5</v>
      </c>
      <c r="G132" s="485">
        <f t="shared" si="36"/>
        <v>6247.5</v>
      </c>
      <c r="H132" s="488">
        <f t="shared" si="37"/>
        <v>1199.5507581808056</v>
      </c>
      <c r="I132" s="542">
        <f t="shared" si="38"/>
        <v>1199.5507581808056</v>
      </c>
      <c r="J132" s="478">
        <f t="shared" si="33"/>
        <v>0</v>
      </c>
      <c r="K132" s="478"/>
      <c r="L132" s="487"/>
      <c r="M132" s="478">
        <f t="shared" si="43"/>
        <v>0</v>
      </c>
      <c r="N132" s="487"/>
      <c r="O132" s="478">
        <f t="shared" si="40"/>
        <v>0</v>
      </c>
      <c r="P132" s="478">
        <f t="shared" si="41"/>
        <v>0</v>
      </c>
    </row>
    <row r="133" spans="2:16">
      <c r="B133" s="160" t="str">
        <f t="shared" si="32"/>
        <v/>
      </c>
      <c r="C133" s="472">
        <f>IF(D93="","-",+C132+1)</f>
        <v>2044</v>
      </c>
      <c r="D133" s="346">
        <f>IF(F132+SUM(E$101:E132)=D$92,F132,D$92-SUM(E$101:E132))</f>
        <v>5984.5</v>
      </c>
      <c r="E133" s="486">
        <f t="shared" si="42"/>
        <v>526</v>
      </c>
      <c r="F133" s="485">
        <f t="shared" si="35"/>
        <v>5458.5</v>
      </c>
      <c r="G133" s="485">
        <f t="shared" ref="G133:G154" si="44">+(F133+D133)/2</f>
        <v>5721.5</v>
      </c>
      <c r="H133" s="488">
        <f t="shared" ref="H133:H154" si="45">+J$94*G133+E133</f>
        <v>1142.8420428861914</v>
      </c>
      <c r="I133" s="542">
        <f t="shared" ref="I133:I154" si="46">+J$95*G133+E133</f>
        <v>1142.8420428861914</v>
      </c>
      <c r="J133" s="478">
        <f t="shared" ref="J133:J154" si="47">+I541-H541</f>
        <v>0</v>
      </c>
      <c r="K133" s="478"/>
      <c r="L133" s="487"/>
      <c r="M133" s="478">
        <f t="shared" si="43"/>
        <v>0</v>
      </c>
      <c r="N133" s="487"/>
      <c r="O133" s="478">
        <f t="shared" si="40"/>
        <v>0</v>
      </c>
      <c r="P133" s="478">
        <f t="shared" si="41"/>
        <v>0</v>
      </c>
    </row>
    <row r="134" spans="2:16">
      <c r="B134" s="160" t="str">
        <f t="shared" ref="B134:B154" si="48">IF(D134=F133,"","IU")</f>
        <v/>
      </c>
      <c r="C134" s="472">
        <f>IF(D93="","-",+C133+1)</f>
        <v>2045</v>
      </c>
      <c r="D134" s="346">
        <f>IF(F133+SUM(E$101:E133)=D$92,F133,D$92-SUM(E$101:E133))</f>
        <v>5458.5</v>
      </c>
      <c r="E134" s="486">
        <f t="shared" si="42"/>
        <v>526</v>
      </c>
      <c r="F134" s="485">
        <f t="shared" ref="F134:F154" si="49">+D134-E134</f>
        <v>4932.5</v>
      </c>
      <c r="G134" s="485">
        <f t="shared" si="44"/>
        <v>5195.5</v>
      </c>
      <c r="H134" s="488">
        <f t="shared" si="45"/>
        <v>1086.1333275915767</v>
      </c>
      <c r="I134" s="542">
        <f t="shared" si="46"/>
        <v>1086.1333275915767</v>
      </c>
      <c r="J134" s="478">
        <f t="shared" si="47"/>
        <v>0</v>
      </c>
      <c r="K134" s="478"/>
      <c r="L134" s="487"/>
      <c r="M134" s="478">
        <f t="shared" si="43"/>
        <v>0</v>
      </c>
      <c r="N134" s="487"/>
      <c r="O134" s="478">
        <f t="shared" si="40"/>
        <v>0</v>
      </c>
      <c r="P134" s="478">
        <f t="shared" si="41"/>
        <v>0</v>
      </c>
    </row>
    <row r="135" spans="2:16">
      <c r="B135" s="160" t="str">
        <f t="shared" si="48"/>
        <v/>
      </c>
      <c r="C135" s="472">
        <f>IF(D93="","-",+C134+1)</f>
        <v>2046</v>
      </c>
      <c r="D135" s="346">
        <f>IF(F134+SUM(E$101:E134)=D$92,F134,D$92-SUM(E$101:E134))</f>
        <v>4932.5</v>
      </c>
      <c r="E135" s="486">
        <f t="shared" si="42"/>
        <v>526</v>
      </c>
      <c r="F135" s="485">
        <f t="shared" si="49"/>
        <v>4406.5</v>
      </c>
      <c r="G135" s="485">
        <f t="shared" si="44"/>
        <v>4669.5</v>
      </c>
      <c r="H135" s="488">
        <f t="shared" si="45"/>
        <v>1029.4246122969623</v>
      </c>
      <c r="I135" s="542">
        <f t="shared" si="46"/>
        <v>1029.4246122969623</v>
      </c>
      <c r="J135" s="478">
        <f t="shared" si="47"/>
        <v>0</v>
      </c>
      <c r="K135" s="478"/>
      <c r="L135" s="487"/>
      <c r="M135" s="478">
        <f t="shared" si="43"/>
        <v>0</v>
      </c>
      <c r="N135" s="487"/>
      <c r="O135" s="478">
        <f t="shared" si="40"/>
        <v>0</v>
      </c>
      <c r="P135" s="478">
        <f t="shared" si="41"/>
        <v>0</v>
      </c>
    </row>
    <row r="136" spans="2:16">
      <c r="B136" s="160" t="str">
        <f t="shared" si="48"/>
        <v/>
      </c>
      <c r="C136" s="472">
        <f>IF(D93="","-",+C135+1)</f>
        <v>2047</v>
      </c>
      <c r="D136" s="346">
        <f>IF(F135+SUM(E$101:E135)=D$92,F135,D$92-SUM(E$101:E135))</f>
        <v>4406.5</v>
      </c>
      <c r="E136" s="486">
        <f t="shared" si="42"/>
        <v>526</v>
      </c>
      <c r="F136" s="485">
        <f t="shared" si="49"/>
        <v>3880.5</v>
      </c>
      <c r="G136" s="485">
        <f t="shared" si="44"/>
        <v>4143.5</v>
      </c>
      <c r="H136" s="488">
        <f t="shared" si="45"/>
        <v>972.7158970023479</v>
      </c>
      <c r="I136" s="542">
        <f t="shared" si="46"/>
        <v>972.7158970023479</v>
      </c>
      <c r="J136" s="478">
        <f t="shared" si="47"/>
        <v>0</v>
      </c>
      <c r="K136" s="478"/>
      <c r="L136" s="487"/>
      <c r="M136" s="478">
        <f t="shared" si="43"/>
        <v>0</v>
      </c>
      <c r="N136" s="487"/>
      <c r="O136" s="478">
        <f t="shared" si="40"/>
        <v>0</v>
      </c>
      <c r="P136" s="478">
        <f t="shared" si="41"/>
        <v>0</v>
      </c>
    </row>
    <row r="137" spans="2:16">
      <c r="B137" s="160" t="str">
        <f t="shared" si="48"/>
        <v/>
      </c>
      <c r="C137" s="472">
        <f>IF(D93="","-",+C136+1)</f>
        <v>2048</v>
      </c>
      <c r="D137" s="346">
        <f>IF(F136+SUM(E$101:E136)=D$92,F136,D$92-SUM(E$101:E136))</f>
        <v>3880.5</v>
      </c>
      <c r="E137" s="486">
        <f t="shared" si="42"/>
        <v>526</v>
      </c>
      <c r="F137" s="485">
        <f t="shared" si="49"/>
        <v>3354.5</v>
      </c>
      <c r="G137" s="485">
        <f t="shared" si="44"/>
        <v>3617.5</v>
      </c>
      <c r="H137" s="488">
        <f t="shared" si="45"/>
        <v>916.00718170773348</v>
      </c>
      <c r="I137" s="542">
        <f t="shared" si="46"/>
        <v>916.00718170773348</v>
      </c>
      <c r="J137" s="478">
        <f t="shared" si="47"/>
        <v>0</v>
      </c>
      <c r="K137" s="478"/>
      <c r="L137" s="487"/>
      <c r="M137" s="478">
        <f t="shared" si="43"/>
        <v>0</v>
      </c>
      <c r="N137" s="487"/>
      <c r="O137" s="478">
        <f t="shared" si="40"/>
        <v>0</v>
      </c>
      <c r="P137" s="478">
        <f t="shared" si="41"/>
        <v>0</v>
      </c>
    </row>
    <row r="138" spans="2:16">
      <c r="B138" s="160" t="str">
        <f t="shared" si="48"/>
        <v/>
      </c>
      <c r="C138" s="472">
        <f>IF(D93="","-",+C137+1)</f>
        <v>2049</v>
      </c>
      <c r="D138" s="346">
        <f>IF(F137+SUM(E$101:E137)=D$92,F137,D$92-SUM(E$101:E137))</f>
        <v>3354.5</v>
      </c>
      <c r="E138" s="486">
        <f t="shared" si="42"/>
        <v>526</v>
      </c>
      <c r="F138" s="485">
        <f t="shared" si="49"/>
        <v>2828.5</v>
      </c>
      <c r="G138" s="485">
        <f t="shared" si="44"/>
        <v>3091.5</v>
      </c>
      <c r="H138" s="488">
        <f t="shared" si="45"/>
        <v>859.29846641311906</v>
      </c>
      <c r="I138" s="542">
        <f t="shared" si="46"/>
        <v>859.29846641311906</v>
      </c>
      <c r="J138" s="478">
        <f t="shared" si="47"/>
        <v>0</v>
      </c>
      <c r="K138" s="478"/>
      <c r="L138" s="487"/>
      <c r="M138" s="478">
        <f t="shared" si="43"/>
        <v>0</v>
      </c>
      <c r="N138" s="487"/>
      <c r="O138" s="478">
        <f t="shared" si="40"/>
        <v>0</v>
      </c>
      <c r="P138" s="478">
        <f t="shared" si="41"/>
        <v>0</v>
      </c>
    </row>
    <row r="139" spans="2:16">
      <c r="B139" s="160" t="str">
        <f t="shared" si="48"/>
        <v/>
      </c>
      <c r="C139" s="472">
        <f>IF(D93="","-",+C138+1)</f>
        <v>2050</v>
      </c>
      <c r="D139" s="346">
        <f>IF(F138+SUM(E$101:E138)=D$92,F138,D$92-SUM(E$101:E138))</f>
        <v>2828.5</v>
      </c>
      <c r="E139" s="486">
        <f t="shared" si="42"/>
        <v>526</v>
      </c>
      <c r="F139" s="485">
        <f t="shared" si="49"/>
        <v>2302.5</v>
      </c>
      <c r="G139" s="485">
        <f t="shared" si="44"/>
        <v>2565.5</v>
      </c>
      <c r="H139" s="488">
        <f t="shared" si="45"/>
        <v>802.58975111850452</v>
      </c>
      <c r="I139" s="542">
        <f t="shared" si="46"/>
        <v>802.58975111850452</v>
      </c>
      <c r="J139" s="478">
        <f t="shared" si="47"/>
        <v>0</v>
      </c>
      <c r="K139" s="478"/>
      <c r="L139" s="487"/>
      <c r="M139" s="478">
        <f t="shared" si="43"/>
        <v>0</v>
      </c>
      <c r="N139" s="487"/>
      <c r="O139" s="478">
        <f t="shared" si="40"/>
        <v>0</v>
      </c>
      <c r="P139" s="478">
        <f t="shared" si="41"/>
        <v>0</v>
      </c>
    </row>
    <row r="140" spans="2:16">
      <c r="B140" s="160" t="str">
        <f t="shared" si="48"/>
        <v/>
      </c>
      <c r="C140" s="472">
        <f>IF(D93="","-",+C139+1)</f>
        <v>2051</v>
      </c>
      <c r="D140" s="346">
        <f>IF(F139+SUM(E$101:E139)=D$92,F139,D$92-SUM(E$101:E139))</f>
        <v>2302.5</v>
      </c>
      <c r="E140" s="486">
        <f t="shared" si="42"/>
        <v>526</v>
      </c>
      <c r="F140" s="485">
        <f t="shared" si="49"/>
        <v>1776.5</v>
      </c>
      <c r="G140" s="485">
        <f t="shared" si="44"/>
        <v>2039.5</v>
      </c>
      <c r="H140" s="488">
        <f t="shared" si="45"/>
        <v>745.8810358238901</v>
      </c>
      <c r="I140" s="542">
        <f t="shared" si="46"/>
        <v>745.8810358238901</v>
      </c>
      <c r="J140" s="478">
        <f t="shared" si="47"/>
        <v>0</v>
      </c>
      <c r="K140" s="478"/>
      <c r="L140" s="487"/>
      <c r="M140" s="478">
        <f t="shared" si="43"/>
        <v>0</v>
      </c>
      <c r="N140" s="487"/>
      <c r="O140" s="478">
        <f t="shared" si="40"/>
        <v>0</v>
      </c>
      <c r="P140" s="478">
        <f t="shared" si="41"/>
        <v>0</v>
      </c>
    </row>
    <row r="141" spans="2:16">
      <c r="B141" s="160" t="str">
        <f t="shared" si="48"/>
        <v/>
      </c>
      <c r="C141" s="472">
        <f>IF(D93="","-",+C140+1)</f>
        <v>2052</v>
      </c>
      <c r="D141" s="346">
        <f>IF(F140+SUM(E$101:E140)=D$92,F140,D$92-SUM(E$101:E140))</f>
        <v>1776.5</v>
      </c>
      <c r="E141" s="486">
        <f t="shared" si="42"/>
        <v>526</v>
      </c>
      <c r="F141" s="485">
        <f t="shared" si="49"/>
        <v>1250.5</v>
      </c>
      <c r="G141" s="485">
        <f t="shared" si="44"/>
        <v>1513.5</v>
      </c>
      <c r="H141" s="488">
        <f t="shared" si="45"/>
        <v>689.17232052927557</v>
      </c>
      <c r="I141" s="542">
        <f t="shared" si="46"/>
        <v>689.17232052927557</v>
      </c>
      <c r="J141" s="478">
        <f t="shared" si="47"/>
        <v>0</v>
      </c>
      <c r="K141" s="478"/>
      <c r="L141" s="487"/>
      <c r="M141" s="478">
        <f t="shared" si="43"/>
        <v>0</v>
      </c>
      <c r="N141" s="487"/>
      <c r="O141" s="478">
        <f t="shared" si="40"/>
        <v>0</v>
      </c>
      <c r="P141" s="478">
        <f t="shared" si="41"/>
        <v>0</v>
      </c>
    </row>
    <row r="142" spans="2:16">
      <c r="B142" s="160" t="str">
        <f t="shared" si="48"/>
        <v/>
      </c>
      <c r="C142" s="472">
        <f>IF(D93="","-",+C141+1)</f>
        <v>2053</v>
      </c>
      <c r="D142" s="346">
        <f>IF(F141+SUM(E$101:E141)=D$92,F141,D$92-SUM(E$101:E141))</f>
        <v>1250.5</v>
      </c>
      <c r="E142" s="486">
        <f t="shared" si="42"/>
        <v>526</v>
      </c>
      <c r="F142" s="485">
        <f t="shared" si="49"/>
        <v>724.5</v>
      </c>
      <c r="G142" s="485">
        <f t="shared" si="44"/>
        <v>987.5</v>
      </c>
      <c r="H142" s="488">
        <f t="shared" si="45"/>
        <v>632.46360523466115</v>
      </c>
      <c r="I142" s="542">
        <f t="shared" si="46"/>
        <v>632.46360523466115</v>
      </c>
      <c r="J142" s="478">
        <f t="shared" si="47"/>
        <v>0</v>
      </c>
      <c r="K142" s="478"/>
      <c r="L142" s="487"/>
      <c r="M142" s="478">
        <f t="shared" si="43"/>
        <v>0</v>
      </c>
      <c r="N142" s="487"/>
      <c r="O142" s="478">
        <f t="shared" si="40"/>
        <v>0</v>
      </c>
      <c r="P142" s="478">
        <f t="shared" si="41"/>
        <v>0</v>
      </c>
    </row>
    <row r="143" spans="2:16">
      <c r="B143" s="160" t="str">
        <f t="shared" si="48"/>
        <v/>
      </c>
      <c r="C143" s="472">
        <f>IF(D93="","-",+C142+1)</f>
        <v>2054</v>
      </c>
      <c r="D143" s="346">
        <f>IF(F142+SUM(E$101:E142)=D$92,F142,D$92-SUM(E$101:E142))</f>
        <v>724.5</v>
      </c>
      <c r="E143" s="486">
        <f t="shared" si="42"/>
        <v>526</v>
      </c>
      <c r="F143" s="485">
        <f t="shared" si="49"/>
        <v>198.5</v>
      </c>
      <c r="G143" s="485">
        <f t="shared" si="44"/>
        <v>461.5</v>
      </c>
      <c r="H143" s="488">
        <f t="shared" si="45"/>
        <v>575.75488994004672</v>
      </c>
      <c r="I143" s="542">
        <f t="shared" si="46"/>
        <v>575.75488994004672</v>
      </c>
      <c r="J143" s="478">
        <f t="shared" si="47"/>
        <v>0</v>
      </c>
      <c r="K143" s="478"/>
      <c r="L143" s="487"/>
      <c r="M143" s="478">
        <f t="shared" si="43"/>
        <v>0</v>
      </c>
      <c r="N143" s="487"/>
      <c r="O143" s="478">
        <f t="shared" si="40"/>
        <v>0</v>
      </c>
      <c r="P143" s="478">
        <f t="shared" si="41"/>
        <v>0</v>
      </c>
    </row>
    <row r="144" spans="2:16">
      <c r="B144" s="160" t="str">
        <f t="shared" si="48"/>
        <v/>
      </c>
      <c r="C144" s="472">
        <f>IF(D93="","-",+C143+1)</f>
        <v>2055</v>
      </c>
      <c r="D144" s="346">
        <f>IF(F143+SUM(E$101:E143)=D$92,F143,D$92-SUM(E$101:E143))</f>
        <v>198.5</v>
      </c>
      <c r="E144" s="486">
        <f t="shared" si="42"/>
        <v>198.5</v>
      </c>
      <c r="F144" s="485">
        <f t="shared" si="49"/>
        <v>0</v>
      </c>
      <c r="G144" s="485">
        <f t="shared" si="44"/>
        <v>99.25</v>
      </c>
      <c r="H144" s="488">
        <f t="shared" si="45"/>
        <v>209.20026614636976</v>
      </c>
      <c r="I144" s="542">
        <f t="shared" si="46"/>
        <v>209.20026614636976</v>
      </c>
      <c r="J144" s="478">
        <f t="shared" si="47"/>
        <v>0</v>
      </c>
      <c r="K144" s="478"/>
      <c r="L144" s="487"/>
      <c r="M144" s="478">
        <f t="shared" si="43"/>
        <v>0</v>
      </c>
      <c r="N144" s="487"/>
      <c r="O144" s="478">
        <f t="shared" si="40"/>
        <v>0</v>
      </c>
      <c r="P144" s="478">
        <f t="shared" si="41"/>
        <v>0</v>
      </c>
    </row>
    <row r="145" spans="2:16">
      <c r="B145" s="160" t="str">
        <f t="shared" si="48"/>
        <v/>
      </c>
      <c r="C145" s="472">
        <f>IF(D93="","-",+C144+1)</f>
        <v>2056</v>
      </c>
      <c r="D145" s="346">
        <f>IF(F144+SUM(E$101:E144)=D$92,F144,D$92-SUM(E$101:E144))</f>
        <v>0</v>
      </c>
      <c r="E145" s="486">
        <f t="shared" si="42"/>
        <v>0</v>
      </c>
      <c r="F145" s="485">
        <f t="shared" si="49"/>
        <v>0</v>
      </c>
      <c r="G145" s="485">
        <f t="shared" si="44"/>
        <v>0</v>
      </c>
      <c r="H145" s="488">
        <f t="shared" si="45"/>
        <v>0</v>
      </c>
      <c r="I145" s="542">
        <f t="shared" si="46"/>
        <v>0</v>
      </c>
      <c r="J145" s="478">
        <f t="shared" si="47"/>
        <v>0</v>
      </c>
      <c r="K145" s="478"/>
      <c r="L145" s="487"/>
      <c r="M145" s="478">
        <f t="shared" si="43"/>
        <v>0</v>
      </c>
      <c r="N145" s="487"/>
      <c r="O145" s="478">
        <f t="shared" si="40"/>
        <v>0</v>
      </c>
      <c r="P145" s="478">
        <f t="shared" si="41"/>
        <v>0</v>
      </c>
    </row>
    <row r="146" spans="2:16">
      <c r="B146" s="160" t="str">
        <f t="shared" si="48"/>
        <v/>
      </c>
      <c r="C146" s="472">
        <f>IF(D93="","-",+C145+1)</f>
        <v>2057</v>
      </c>
      <c r="D146" s="346">
        <f>IF(F145+SUM(E$101:E145)=D$92,F145,D$92-SUM(E$101:E145))</f>
        <v>0</v>
      </c>
      <c r="E146" s="486">
        <f t="shared" si="42"/>
        <v>0</v>
      </c>
      <c r="F146" s="485">
        <f t="shared" si="49"/>
        <v>0</v>
      </c>
      <c r="G146" s="485">
        <f t="shared" si="44"/>
        <v>0</v>
      </c>
      <c r="H146" s="488">
        <f t="shared" si="45"/>
        <v>0</v>
      </c>
      <c r="I146" s="542">
        <f t="shared" si="46"/>
        <v>0</v>
      </c>
      <c r="J146" s="478">
        <f t="shared" si="47"/>
        <v>0</v>
      </c>
      <c r="K146" s="478"/>
      <c r="L146" s="487"/>
      <c r="M146" s="478">
        <f t="shared" si="43"/>
        <v>0</v>
      </c>
      <c r="N146" s="487"/>
      <c r="O146" s="478">
        <f t="shared" si="40"/>
        <v>0</v>
      </c>
      <c r="P146" s="478">
        <f t="shared" si="41"/>
        <v>0</v>
      </c>
    </row>
    <row r="147" spans="2:16">
      <c r="B147" s="160" t="str">
        <f t="shared" si="48"/>
        <v/>
      </c>
      <c r="C147" s="472">
        <f>IF(D93="","-",+C146+1)</f>
        <v>2058</v>
      </c>
      <c r="D147" s="346">
        <f>IF(F146+SUM(E$101:E146)=D$92,F146,D$92-SUM(E$101:E146))</f>
        <v>0</v>
      </c>
      <c r="E147" s="486">
        <f t="shared" si="42"/>
        <v>0</v>
      </c>
      <c r="F147" s="485">
        <f t="shared" si="49"/>
        <v>0</v>
      </c>
      <c r="G147" s="485">
        <f t="shared" si="44"/>
        <v>0</v>
      </c>
      <c r="H147" s="488">
        <f t="shared" si="45"/>
        <v>0</v>
      </c>
      <c r="I147" s="542">
        <f t="shared" si="46"/>
        <v>0</v>
      </c>
      <c r="J147" s="478">
        <f t="shared" si="47"/>
        <v>0</v>
      </c>
      <c r="K147" s="478"/>
      <c r="L147" s="487"/>
      <c r="M147" s="478">
        <f t="shared" si="43"/>
        <v>0</v>
      </c>
      <c r="N147" s="487"/>
      <c r="O147" s="478">
        <f t="shared" si="40"/>
        <v>0</v>
      </c>
      <c r="P147" s="478">
        <f t="shared" si="41"/>
        <v>0</v>
      </c>
    </row>
    <row r="148" spans="2:16">
      <c r="B148" s="160" t="str">
        <f t="shared" si="48"/>
        <v/>
      </c>
      <c r="C148" s="472">
        <f>IF(D93="","-",+C147+1)</f>
        <v>2059</v>
      </c>
      <c r="D148" s="346">
        <f>IF(F147+SUM(E$101:E147)=D$92,F147,D$92-SUM(E$101:E147))</f>
        <v>0</v>
      </c>
      <c r="E148" s="486">
        <f t="shared" si="42"/>
        <v>0</v>
      </c>
      <c r="F148" s="485">
        <f t="shared" si="49"/>
        <v>0</v>
      </c>
      <c r="G148" s="485">
        <f t="shared" si="44"/>
        <v>0</v>
      </c>
      <c r="H148" s="488">
        <f t="shared" si="45"/>
        <v>0</v>
      </c>
      <c r="I148" s="542">
        <f t="shared" si="46"/>
        <v>0</v>
      </c>
      <c r="J148" s="478">
        <f t="shared" si="47"/>
        <v>0</v>
      </c>
      <c r="K148" s="478"/>
      <c r="L148" s="487"/>
      <c r="M148" s="478">
        <f t="shared" si="43"/>
        <v>0</v>
      </c>
      <c r="N148" s="487"/>
      <c r="O148" s="478">
        <f t="shared" si="40"/>
        <v>0</v>
      </c>
      <c r="P148" s="478">
        <f t="shared" si="41"/>
        <v>0</v>
      </c>
    </row>
    <row r="149" spans="2:16">
      <c r="B149" s="160" t="str">
        <f t="shared" si="48"/>
        <v/>
      </c>
      <c r="C149" s="472">
        <f>IF(D93="","-",+C148+1)</f>
        <v>2060</v>
      </c>
      <c r="D149" s="346">
        <f>IF(F148+SUM(E$101:E148)=D$92,F148,D$92-SUM(E$101:E148))</f>
        <v>0</v>
      </c>
      <c r="E149" s="486">
        <f t="shared" si="42"/>
        <v>0</v>
      </c>
      <c r="F149" s="485">
        <f t="shared" si="49"/>
        <v>0</v>
      </c>
      <c r="G149" s="485">
        <f t="shared" si="44"/>
        <v>0</v>
      </c>
      <c r="H149" s="488">
        <f t="shared" si="45"/>
        <v>0</v>
      </c>
      <c r="I149" s="542">
        <f t="shared" si="46"/>
        <v>0</v>
      </c>
      <c r="J149" s="478">
        <f t="shared" si="47"/>
        <v>0</v>
      </c>
      <c r="K149" s="478"/>
      <c r="L149" s="487"/>
      <c r="M149" s="478">
        <f t="shared" si="43"/>
        <v>0</v>
      </c>
      <c r="N149" s="487"/>
      <c r="O149" s="478">
        <f t="shared" si="40"/>
        <v>0</v>
      </c>
      <c r="P149" s="478">
        <f t="shared" si="41"/>
        <v>0</v>
      </c>
    </row>
    <row r="150" spans="2:16">
      <c r="B150" s="160" t="str">
        <f t="shared" si="48"/>
        <v/>
      </c>
      <c r="C150" s="472">
        <f>IF(D93="","-",+C149+1)</f>
        <v>2061</v>
      </c>
      <c r="D150" s="346">
        <f>IF(F149+SUM(E$101:E149)=D$92,F149,D$92-SUM(E$101:E149))</f>
        <v>0</v>
      </c>
      <c r="E150" s="486">
        <f t="shared" si="42"/>
        <v>0</v>
      </c>
      <c r="F150" s="485">
        <f t="shared" si="49"/>
        <v>0</v>
      </c>
      <c r="G150" s="485">
        <f t="shared" si="44"/>
        <v>0</v>
      </c>
      <c r="H150" s="488">
        <f t="shared" si="45"/>
        <v>0</v>
      </c>
      <c r="I150" s="542">
        <f t="shared" si="46"/>
        <v>0</v>
      </c>
      <c r="J150" s="478">
        <f t="shared" si="47"/>
        <v>0</v>
      </c>
      <c r="K150" s="478"/>
      <c r="L150" s="487"/>
      <c r="M150" s="478">
        <f t="shared" si="43"/>
        <v>0</v>
      </c>
      <c r="N150" s="487"/>
      <c r="O150" s="478">
        <f t="shared" si="40"/>
        <v>0</v>
      </c>
      <c r="P150" s="478">
        <f t="shared" si="41"/>
        <v>0</v>
      </c>
    </row>
    <row r="151" spans="2:16">
      <c r="B151" s="160" t="str">
        <f t="shared" si="48"/>
        <v/>
      </c>
      <c r="C151" s="472">
        <f>IF(D93="","-",+C150+1)</f>
        <v>2062</v>
      </c>
      <c r="D151" s="346">
        <f>IF(F150+SUM(E$101:E150)=D$92,F150,D$92-SUM(E$101:E150))</f>
        <v>0</v>
      </c>
      <c r="E151" s="486">
        <f t="shared" si="42"/>
        <v>0</v>
      </c>
      <c r="F151" s="485">
        <f t="shared" si="49"/>
        <v>0</v>
      </c>
      <c r="G151" s="485">
        <f t="shared" si="44"/>
        <v>0</v>
      </c>
      <c r="H151" s="488">
        <f t="shared" si="45"/>
        <v>0</v>
      </c>
      <c r="I151" s="542">
        <f t="shared" si="46"/>
        <v>0</v>
      </c>
      <c r="J151" s="478">
        <f t="shared" si="47"/>
        <v>0</v>
      </c>
      <c r="K151" s="478"/>
      <c r="L151" s="487"/>
      <c r="M151" s="478">
        <f t="shared" si="43"/>
        <v>0</v>
      </c>
      <c r="N151" s="487"/>
      <c r="O151" s="478">
        <f t="shared" si="40"/>
        <v>0</v>
      </c>
      <c r="P151" s="478">
        <f t="shared" si="41"/>
        <v>0</v>
      </c>
    </row>
    <row r="152" spans="2:16">
      <c r="B152" s="160" t="str">
        <f t="shared" si="48"/>
        <v/>
      </c>
      <c r="C152" s="472">
        <f>IF(D93="","-",+C151+1)</f>
        <v>2063</v>
      </c>
      <c r="D152" s="346">
        <f>IF(F151+SUM(E$101:E151)=D$92,F151,D$92-SUM(E$101:E151))</f>
        <v>0</v>
      </c>
      <c r="E152" s="486">
        <f t="shared" si="42"/>
        <v>0</v>
      </c>
      <c r="F152" s="485">
        <f t="shared" si="49"/>
        <v>0</v>
      </c>
      <c r="G152" s="485">
        <f t="shared" si="44"/>
        <v>0</v>
      </c>
      <c r="H152" s="488">
        <f t="shared" si="45"/>
        <v>0</v>
      </c>
      <c r="I152" s="542">
        <f t="shared" si="46"/>
        <v>0</v>
      </c>
      <c r="J152" s="478">
        <f t="shared" si="47"/>
        <v>0</v>
      </c>
      <c r="K152" s="478"/>
      <c r="L152" s="487"/>
      <c r="M152" s="478">
        <f t="shared" si="43"/>
        <v>0</v>
      </c>
      <c r="N152" s="487"/>
      <c r="O152" s="478">
        <f t="shared" si="40"/>
        <v>0</v>
      </c>
      <c r="P152" s="478">
        <f t="shared" si="41"/>
        <v>0</v>
      </c>
    </row>
    <row r="153" spans="2:16">
      <c r="B153" s="160" t="str">
        <f t="shared" si="48"/>
        <v/>
      </c>
      <c r="C153" s="472">
        <f>IF(D93="","-",+C152+1)</f>
        <v>2064</v>
      </c>
      <c r="D153" s="346">
        <f>IF(F152+SUM(E$101:E152)=D$92,F152,D$92-SUM(E$101:E152))</f>
        <v>0</v>
      </c>
      <c r="E153" s="486">
        <f t="shared" si="42"/>
        <v>0</v>
      </c>
      <c r="F153" s="485">
        <f t="shared" si="49"/>
        <v>0</v>
      </c>
      <c r="G153" s="485">
        <f t="shared" si="44"/>
        <v>0</v>
      </c>
      <c r="H153" s="488">
        <f t="shared" si="45"/>
        <v>0</v>
      </c>
      <c r="I153" s="542">
        <f t="shared" si="46"/>
        <v>0</v>
      </c>
      <c r="J153" s="478">
        <f t="shared" si="47"/>
        <v>0</v>
      </c>
      <c r="K153" s="478"/>
      <c r="L153" s="487"/>
      <c r="M153" s="478">
        <f t="shared" si="43"/>
        <v>0</v>
      </c>
      <c r="N153" s="487"/>
      <c r="O153" s="478">
        <f t="shared" si="40"/>
        <v>0</v>
      </c>
      <c r="P153" s="478">
        <f t="shared" si="41"/>
        <v>0</v>
      </c>
    </row>
    <row r="154" spans="2:16" ht="13.5" thickBot="1">
      <c r="B154" s="160" t="str">
        <f t="shared" si="48"/>
        <v/>
      </c>
      <c r="C154" s="489">
        <f>IF(D93="","-",+C153+1)</f>
        <v>2065</v>
      </c>
      <c r="D154" s="543">
        <f>IF(F153+SUM(E$101:E153)=D$92,F153,D$92-SUM(E$101:E153))</f>
        <v>0</v>
      </c>
      <c r="E154" s="544">
        <f t="shared" si="42"/>
        <v>0</v>
      </c>
      <c r="F154" s="490">
        <f t="shared" si="49"/>
        <v>0</v>
      </c>
      <c r="G154" s="490">
        <f t="shared" si="44"/>
        <v>0</v>
      </c>
      <c r="H154" s="492">
        <f t="shared" si="45"/>
        <v>0</v>
      </c>
      <c r="I154" s="545">
        <f t="shared" si="46"/>
        <v>0</v>
      </c>
      <c r="J154" s="495">
        <f t="shared" si="47"/>
        <v>0</v>
      </c>
      <c r="K154" s="478"/>
      <c r="L154" s="494"/>
      <c r="M154" s="495">
        <f t="shared" si="43"/>
        <v>0</v>
      </c>
      <c r="N154" s="494"/>
      <c r="O154" s="478">
        <f t="shared" si="40"/>
        <v>0</v>
      </c>
      <c r="P154" s="478">
        <f t="shared" si="41"/>
        <v>0</v>
      </c>
    </row>
    <row r="155" spans="2:16">
      <c r="C155" s="346" t="s">
        <v>77</v>
      </c>
      <c r="D155" s="347"/>
      <c r="E155" s="347">
        <f>SUM(E101:E154)</f>
        <v>22097</v>
      </c>
      <c r="F155" s="347"/>
      <c r="G155" s="347"/>
      <c r="H155" s="347">
        <f>SUM(H101:H154)</f>
        <v>78925.265649391513</v>
      </c>
      <c r="I155" s="347">
        <f>SUM(I101:I154)</f>
        <v>78925.265649391513</v>
      </c>
      <c r="J155" s="347">
        <f>SUM(J101:J154)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41" priority="3" stopIfTrue="1" operator="equal">
      <formula>$I$10</formula>
    </cfRule>
  </conditionalFormatting>
  <conditionalFormatting sqref="C102:C152">
    <cfRule type="cellIs" dxfId="40" priority="4" stopIfTrue="1" operator="equal">
      <formula>$J$92</formula>
    </cfRule>
  </conditionalFormatting>
  <conditionalFormatting sqref="C153:C154">
    <cfRule type="cellIs" dxfId="39" priority="2" stopIfTrue="1" operator="equal">
      <formula>$J$92</formula>
    </cfRule>
  </conditionalFormatting>
  <conditionalFormatting sqref="C100:C101">
    <cfRule type="cellIs" dxfId="38" priority="1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P162"/>
  <sheetViews>
    <sheetView view="pageBreakPreview" topLeftCell="A7" zoomScale="75" zoomScaleNormal="100" zoomScaleSheetLayoutView="75" workbookViewId="0">
      <selection activeCell="D16" sqref="D1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14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104126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104126</v>
      </c>
      <c r="O6" s="232"/>
      <c r="P6" s="232"/>
    </row>
    <row r="7" spans="1:16" ht="13.5" thickBot="1">
      <c r="C7" s="431" t="s">
        <v>46</v>
      </c>
      <c r="D7" s="599" t="s">
        <v>242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241</v>
      </c>
      <c r="E9" s="577" t="s">
        <v>292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1035552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2013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24656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0" t="s">
        <v>105</v>
      </c>
      <c r="O16" s="469" t="s">
        <v>105</v>
      </c>
      <c r="P16" s="242"/>
    </row>
    <row r="17" spans="2:16">
      <c r="B17" s="160"/>
      <c r="C17" s="472">
        <f>IF(D11= "","-",D11)</f>
        <v>2013</v>
      </c>
      <c r="D17" s="581">
        <v>5562500</v>
      </c>
      <c r="E17" s="601">
        <v>89142.628205128203</v>
      </c>
      <c r="F17" s="581">
        <v>5473357.371794872</v>
      </c>
      <c r="G17" s="601">
        <v>870775.06277038739</v>
      </c>
      <c r="H17" s="602">
        <v>870775.06277038739</v>
      </c>
      <c r="I17" s="475">
        <v>0</v>
      </c>
      <c r="J17" s="348"/>
      <c r="K17" s="554">
        <f t="shared" ref="K17:K22" si="0">G17</f>
        <v>870775.06277038739</v>
      </c>
      <c r="L17" s="603">
        <f t="shared" ref="L17:L22" si="1">IF(K17&lt;&gt;0,+G17-K17,0)</f>
        <v>0</v>
      </c>
      <c r="M17" s="554">
        <f t="shared" ref="M17:M22" si="2">H17</f>
        <v>870775.06277038739</v>
      </c>
      <c r="N17" s="477">
        <f t="shared" ref="N17:N22" si="3">IF(M17&lt;&gt;0,+H17-M17,0)</f>
        <v>0</v>
      </c>
      <c r="O17" s="475">
        <f t="shared" ref="O17:O22" si="4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2014</v>
      </c>
      <c r="D18" s="586">
        <v>5473357</v>
      </c>
      <c r="E18" s="585">
        <v>19910</v>
      </c>
      <c r="F18" s="586">
        <v>5453447</v>
      </c>
      <c r="G18" s="585">
        <v>770625</v>
      </c>
      <c r="H18" s="587">
        <v>770625</v>
      </c>
      <c r="I18" s="475">
        <f>H18-G18</f>
        <v>0</v>
      </c>
      <c r="J18" s="348"/>
      <c r="K18" s="476">
        <f t="shared" si="0"/>
        <v>770625</v>
      </c>
      <c r="L18" s="603">
        <f t="shared" si="1"/>
        <v>0</v>
      </c>
      <c r="M18" s="476">
        <f t="shared" si="2"/>
        <v>770625</v>
      </c>
      <c r="N18" s="478">
        <f t="shared" si="3"/>
        <v>0</v>
      </c>
      <c r="O18" s="475">
        <f t="shared" si="4"/>
        <v>0</v>
      </c>
      <c r="P18" s="242"/>
    </row>
    <row r="19" spans="2:16">
      <c r="B19" s="160" t="str">
        <f>IF(D19=F18,"","IU")</f>
        <v/>
      </c>
      <c r="C19" s="472">
        <f>IF(D11="","-",+C18+1)</f>
        <v>2015</v>
      </c>
      <c r="D19" s="586">
        <v>5453447</v>
      </c>
      <c r="E19" s="585">
        <f t="shared" ref="E19:E72" si="5">IF(+$I$14&lt;F18,$I$14,D19)</f>
        <v>24656</v>
      </c>
      <c r="F19" s="586">
        <v>5433533</v>
      </c>
      <c r="G19" s="585">
        <v>769045</v>
      </c>
      <c r="H19" s="587">
        <v>769045</v>
      </c>
      <c r="I19" s="475">
        <f t="shared" ref="I19:I72" si="6">H19-G19</f>
        <v>0</v>
      </c>
      <c r="J19" s="348"/>
      <c r="K19" s="476">
        <f t="shared" si="0"/>
        <v>769045</v>
      </c>
      <c r="L19" s="603">
        <f t="shared" si="1"/>
        <v>0</v>
      </c>
      <c r="M19" s="476">
        <f t="shared" si="2"/>
        <v>769045</v>
      </c>
      <c r="N19" s="478">
        <f t="shared" si="3"/>
        <v>0</v>
      </c>
      <c r="O19" s="475">
        <f t="shared" si="4"/>
        <v>0</v>
      </c>
      <c r="P19" s="242"/>
    </row>
    <row r="20" spans="2:16">
      <c r="B20" s="160" t="str">
        <f t="shared" ref="B20:B72" si="7">IF(D20=F19,"","IU")</f>
        <v>IU</v>
      </c>
      <c r="C20" s="472">
        <f>IF(D11="","-",+C19+1)</f>
        <v>2016</v>
      </c>
      <c r="D20" s="586">
        <v>906584.91025641025</v>
      </c>
      <c r="E20" s="585">
        <v>19914.461538461539</v>
      </c>
      <c r="F20" s="586">
        <v>886670.44871794875</v>
      </c>
      <c r="G20" s="585">
        <v>136209.46153846153</v>
      </c>
      <c r="H20" s="587">
        <v>136209.46153846153</v>
      </c>
      <c r="I20" s="475">
        <f t="shared" si="6"/>
        <v>0</v>
      </c>
      <c r="J20" s="348"/>
      <c r="K20" s="476">
        <f t="shared" si="0"/>
        <v>136209.46153846153</v>
      </c>
      <c r="L20" s="603">
        <f t="shared" si="1"/>
        <v>0</v>
      </c>
      <c r="M20" s="476">
        <f t="shared" si="2"/>
        <v>136209.46153846153</v>
      </c>
      <c r="N20" s="478">
        <f t="shared" si="3"/>
        <v>0</v>
      </c>
      <c r="O20" s="475">
        <f t="shared" si="4"/>
        <v>0</v>
      </c>
      <c r="P20" s="242"/>
    </row>
    <row r="21" spans="2:16">
      <c r="B21" s="160" t="str">
        <f t="shared" si="7"/>
        <v>IU</v>
      </c>
      <c r="C21" s="472">
        <f>IF(D11="","-",+C20+1)</f>
        <v>2017</v>
      </c>
      <c r="D21" s="586">
        <v>884072.91025641025</v>
      </c>
      <c r="E21" s="585">
        <v>22512</v>
      </c>
      <c r="F21" s="586">
        <v>861560.91025641025</v>
      </c>
      <c r="G21" s="585">
        <v>132155</v>
      </c>
      <c r="H21" s="587">
        <v>132155</v>
      </c>
      <c r="I21" s="475">
        <f t="shared" si="6"/>
        <v>0</v>
      </c>
      <c r="J21" s="348"/>
      <c r="K21" s="476">
        <f t="shared" si="0"/>
        <v>132155</v>
      </c>
      <c r="L21" s="603">
        <f t="shared" si="1"/>
        <v>0</v>
      </c>
      <c r="M21" s="476">
        <f t="shared" si="2"/>
        <v>132155</v>
      </c>
      <c r="N21" s="478">
        <f t="shared" si="3"/>
        <v>0</v>
      </c>
      <c r="O21" s="475">
        <f t="shared" si="4"/>
        <v>0</v>
      </c>
      <c r="P21" s="242"/>
    </row>
    <row r="22" spans="2:16">
      <c r="B22" s="160" t="str">
        <f t="shared" si="7"/>
        <v>IU</v>
      </c>
      <c r="C22" s="472">
        <f>IF(D11="","-",+C21+1)</f>
        <v>2018</v>
      </c>
      <c r="D22" s="586">
        <v>861060.64358974365</v>
      </c>
      <c r="E22" s="585">
        <v>23012.266666666666</v>
      </c>
      <c r="F22" s="586">
        <v>838048.37692307692</v>
      </c>
      <c r="G22" s="585">
        <v>124754.01488848326</v>
      </c>
      <c r="H22" s="587">
        <v>124754.01488848326</v>
      </c>
      <c r="I22" s="475">
        <f t="shared" si="6"/>
        <v>0</v>
      </c>
      <c r="J22" s="348"/>
      <c r="K22" s="476">
        <f t="shared" si="0"/>
        <v>124754.01488848326</v>
      </c>
      <c r="L22" s="603">
        <f t="shared" si="1"/>
        <v>0</v>
      </c>
      <c r="M22" s="476">
        <f t="shared" si="2"/>
        <v>124754.01488848326</v>
      </c>
      <c r="N22" s="478">
        <f t="shared" si="3"/>
        <v>0</v>
      </c>
      <c r="O22" s="475">
        <f t="shared" si="4"/>
        <v>0</v>
      </c>
      <c r="P22" s="242"/>
    </row>
    <row r="23" spans="2:16">
      <c r="B23" s="160" t="str">
        <f t="shared" si="7"/>
        <v>IU</v>
      </c>
      <c r="C23" s="472">
        <f>IF(D11="","-",+C22+1)</f>
        <v>2019</v>
      </c>
      <c r="D23" s="586">
        <v>835171.8435897436</v>
      </c>
      <c r="E23" s="585">
        <v>25888.799999999999</v>
      </c>
      <c r="F23" s="586">
        <v>809283.04358974355</v>
      </c>
      <c r="G23" s="585">
        <v>117695.9465116283</v>
      </c>
      <c r="H23" s="587">
        <v>117695.9465116283</v>
      </c>
      <c r="I23" s="475">
        <f t="shared" si="6"/>
        <v>0</v>
      </c>
      <c r="J23" s="475"/>
      <c r="K23" s="476">
        <f t="shared" ref="K23" si="8">G23</f>
        <v>117695.9465116283</v>
      </c>
      <c r="L23" s="603">
        <f t="shared" ref="L23" si="9">IF(K23&lt;&gt;0,+G23-K23,0)</f>
        <v>0</v>
      </c>
      <c r="M23" s="476">
        <f t="shared" ref="M23" si="10">H23</f>
        <v>117695.9465116283</v>
      </c>
      <c r="N23" s="478">
        <f t="shared" ref="N23:N72" si="11">IF(M23&lt;&gt;0,+H23-M23,0)</f>
        <v>0</v>
      </c>
      <c r="O23" s="478">
        <f t="shared" ref="O23:O72" si="12">+N23-L23</f>
        <v>0</v>
      </c>
      <c r="P23" s="242"/>
    </row>
    <row r="24" spans="2:16">
      <c r="B24" s="160" t="str">
        <f t="shared" si="7"/>
        <v>IU</v>
      </c>
      <c r="C24" s="472">
        <f>IF(D11="","-",+C23+1)</f>
        <v>2020</v>
      </c>
      <c r="D24" s="586">
        <v>815036.1102564102</v>
      </c>
      <c r="E24" s="585">
        <v>24656</v>
      </c>
      <c r="F24" s="586">
        <v>790380.1102564102</v>
      </c>
      <c r="G24" s="585">
        <v>111352.31037205369</v>
      </c>
      <c r="H24" s="587">
        <v>111352.31037205369</v>
      </c>
      <c r="I24" s="475">
        <f t="shared" si="6"/>
        <v>0</v>
      </c>
      <c r="J24" s="475"/>
      <c r="K24" s="476">
        <f t="shared" ref="K24" si="13">G24</f>
        <v>111352.31037205369</v>
      </c>
      <c r="L24" s="603">
        <f t="shared" ref="L24" si="14">IF(K24&lt;&gt;0,+G24-K24,0)</f>
        <v>0</v>
      </c>
      <c r="M24" s="476">
        <f t="shared" ref="M24" si="15">H24</f>
        <v>111352.31037205369</v>
      </c>
      <c r="N24" s="478">
        <f t="shared" si="11"/>
        <v>0</v>
      </c>
      <c r="O24" s="478">
        <f t="shared" si="12"/>
        <v>0</v>
      </c>
      <c r="P24" s="242"/>
    </row>
    <row r="25" spans="2:16">
      <c r="B25" s="160" t="str">
        <f t="shared" si="7"/>
        <v>IU</v>
      </c>
      <c r="C25" s="472">
        <f>IF(D11="","-",+C24+1)</f>
        <v>2021</v>
      </c>
      <c r="D25" s="586">
        <v>786433.23893858085</v>
      </c>
      <c r="E25" s="585">
        <v>24082.60465116279</v>
      </c>
      <c r="F25" s="586">
        <v>762350.6342874181</v>
      </c>
      <c r="G25" s="585">
        <v>106280.60465116279</v>
      </c>
      <c r="H25" s="587">
        <v>106280.60465116279</v>
      </c>
      <c r="I25" s="475">
        <f t="shared" si="6"/>
        <v>0</v>
      </c>
      <c r="J25" s="475"/>
      <c r="K25" s="476">
        <f t="shared" ref="K25" si="16">G25</f>
        <v>106280.60465116279</v>
      </c>
      <c r="L25" s="603">
        <f t="shared" ref="L25" si="17">IF(K25&lt;&gt;0,+G25-K25,0)</f>
        <v>0</v>
      </c>
      <c r="M25" s="476">
        <f t="shared" ref="M25" si="18">H25</f>
        <v>106280.60465116279</v>
      </c>
      <c r="N25" s="478">
        <f t="shared" si="11"/>
        <v>0</v>
      </c>
      <c r="O25" s="478">
        <f t="shared" si="12"/>
        <v>0</v>
      </c>
      <c r="P25" s="242"/>
    </row>
    <row r="26" spans="2:16">
      <c r="B26" s="160" t="str">
        <f t="shared" si="7"/>
        <v>IU</v>
      </c>
      <c r="C26" s="472">
        <f>IF(D11="","-",+C25+1)</f>
        <v>2022</v>
      </c>
      <c r="D26" s="485">
        <f>IF(F25+SUM(E$17:E25)=D$10,F25,D$10-SUM(E$17:E25))</f>
        <v>761777.23893858085</v>
      </c>
      <c r="E26" s="484">
        <f t="shared" si="5"/>
        <v>24656</v>
      </c>
      <c r="F26" s="485">
        <f t="shared" ref="F26:F72" si="19">+D26-E26</f>
        <v>737121.23893858085</v>
      </c>
      <c r="G26" s="486">
        <f t="shared" ref="G26:G72" si="20">ROUND(I$12*F26,0)+E26</f>
        <v>104126</v>
      </c>
      <c r="H26" s="455">
        <f t="shared" ref="H26:H72" si="21">ROUND(I$13*F26,0)+E26</f>
        <v>104126</v>
      </c>
      <c r="I26" s="475">
        <f t="shared" si="6"/>
        <v>0</v>
      </c>
      <c r="J26" s="475"/>
      <c r="K26" s="487"/>
      <c r="L26" s="478">
        <f t="shared" ref="L26:L72" si="22">IF(K26&lt;&gt;0,+G26-K26,0)</f>
        <v>0</v>
      </c>
      <c r="M26" s="487"/>
      <c r="N26" s="478">
        <f t="shared" si="11"/>
        <v>0</v>
      </c>
      <c r="O26" s="478">
        <f t="shared" si="12"/>
        <v>0</v>
      </c>
      <c r="P26" s="242"/>
    </row>
    <row r="27" spans="2:16">
      <c r="B27" s="160" t="str">
        <f t="shared" si="7"/>
        <v/>
      </c>
      <c r="C27" s="472">
        <f>IF(D11="","-",+C26+1)</f>
        <v>2023</v>
      </c>
      <c r="D27" s="485">
        <f>IF(F26+SUM(E$17:E26)=D$10,F26,D$10-SUM(E$17:E26))</f>
        <v>737121.23893858085</v>
      </c>
      <c r="E27" s="484">
        <f t="shared" si="5"/>
        <v>24656</v>
      </c>
      <c r="F27" s="485">
        <f t="shared" si="19"/>
        <v>712465.23893858085</v>
      </c>
      <c r="G27" s="486">
        <f t="shared" si="20"/>
        <v>101468</v>
      </c>
      <c r="H27" s="455">
        <f t="shared" si="21"/>
        <v>101468</v>
      </c>
      <c r="I27" s="475">
        <f t="shared" si="6"/>
        <v>0</v>
      </c>
      <c r="J27" s="475"/>
      <c r="K27" s="487"/>
      <c r="L27" s="478">
        <f t="shared" si="22"/>
        <v>0</v>
      </c>
      <c r="M27" s="487"/>
      <c r="N27" s="478">
        <f t="shared" si="11"/>
        <v>0</v>
      </c>
      <c r="O27" s="478">
        <f t="shared" si="12"/>
        <v>0</v>
      </c>
      <c r="P27" s="242"/>
    </row>
    <row r="28" spans="2:16">
      <c r="B28" s="160" t="str">
        <f t="shared" si="7"/>
        <v/>
      </c>
      <c r="C28" s="472">
        <f>IF(D11="","-",+C27+1)</f>
        <v>2024</v>
      </c>
      <c r="D28" s="485">
        <f>IF(F27+SUM(E$17:E27)=D$10,F27,D$10-SUM(E$17:E27))</f>
        <v>712465.23893858085</v>
      </c>
      <c r="E28" s="484">
        <f t="shared" si="5"/>
        <v>24656</v>
      </c>
      <c r="F28" s="485">
        <f t="shared" si="19"/>
        <v>687809.23893858085</v>
      </c>
      <c r="G28" s="486">
        <f t="shared" si="20"/>
        <v>98810</v>
      </c>
      <c r="H28" s="455">
        <f t="shared" si="21"/>
        <v>98810</v>
      </c>
      <c r="I28" s="475">
        <f t="shared" si="6"/>
        <v>0</v>
      </c>
      <c r="J28" s="475"/>
      <c r="K28" s="487"/>
      <c r="L28" s="478">
        <f t="shared" si="22"/>
        <v>0</v>
      </c>
      <c r="M28" s="487"/>
      <c r="N28" s="478">
        <f t="shared" si="11"/>
        <v>0</v>
      </c>
      <c r="O28" s="478">
        <f t="shared" si="12"/>
        <v>0</v>
      </c>
      <c r="P28" s="242"/>
    </row>
    <row r="29" spans="2:16">
      <c r="B29" s="160" t="str">
        <f t="shared" si="7"/>
        <v/>
      </c>
      <c r="C29" s="472">
        <f>IF(D11="","-",+C28+1)</f>
        <v>2025</v>
      </c>
      <c r="D29" s="485">
        <f>IF(F28+SUM(E$17:E28)=D$10,F28,D$10-SUM(E$17:E28))</f>
        <v>687809.23893858085</v>
      </c>
      <c r="E29" s="484">
        <f t="shared" si="5"/>
        <v>24656</v>
      </c>
      <c r="F29" s="485">
        <f t="shared" si="19"/>
        <v>663153.23893858085</v>
      </c>
      <c r="G29" s="486">
        <f t="shared" si="20"/>
        <v>96151</v>
      </c>
      <c r="H29" s="455">
        <f t="shared" si="21"/>
        <v>96151</v>
      </c>
      <c r="I29" s="475">
        <f t="shared" si="6"/>
        <v>0</v>
      </c>
      <c r="J29" s="475"/>
      <c r="K29" s="487"/>
      <c r="L29" s="478">
        <f t="shared" si="22"/>
        <v>0</v>
      </c>
      <c r="M29" s="487"/>
      <c r="N29" s="478">
        <f t="shared" si="11"/>
        <v>0</v>
      </c>
      <c r="O29" s="478">
        <f t="shared" si="12"/>
        <v>0</v>
      </c>
      <c r="P29" s="242"/>
    </row>
    <row r="30" spans="2:16">
      <c r="B30" s="160" t="str">
        <f t="shared" si="7"/>
        <v/>
      </c>
      <c r="C30" s="472">
        <f>IF(D11="","-",+C29+1)</f>
        <v>2026</v>
      </c>
      <c r="D30" s="485">
        <f>IF(F29+SUM(E$17:E29)=D$10,F29,D$10-SUM(E$17:E29))</f>
        <v>663153.23893858085</v>
      </c>
      <c r="E30" s="484">
        <f t="shared" si="5"/>
        <v>24656</v>
      </c>
      <c r="F30" s="485">
        <f t="shared" si="19"/>
        <v>638497.23893858085</v>
      </c>
      <c r="G30" s="486">
        <f t="shared" si="20"/>
        <v>93493</v>
      </c>
      <c r="H30" s="455">
        <f t="shared" si="21"/>
        <v>93493</v>
      </c>
      <c r="I30" s="475">
        <f t="shared" si="6"/>
        <v>0</v>
      </c>
      <c r="J30" s="475"/>
      <c r="K30" s="487"/>
      <c r="L30" s="478">
        <f t="shared" si="22"/>
        <v>0</v>
      </c>
      <c r="M30" s="487"/>
      <c r="N30" s="478">
        <f t="shared" si="11"/>
        <v>0</v>
      </c>
      <c r="O30" s="478">
        <f t="shared" si="12"/>
        <v>0</v>
      </c>
      <c r="P30" s="242"/>
    </row>
    <row r="31" spans="2:16">
      <c r="B31" s="160" t="str">
        <f t="shared" si="7"/>
        <v/>
      </c>
      <c r="C31" s="472">
        <f>IF(D11="","-",+C30+1)</f>
        <v>2027</v>
      </c>
      <c r="D31" s="485">
        <f>IF(F30+SUM(E$17:E30)=D$10,F30,D$10-SUM(E$17:E30))</f>
        <v>638497.23893858085</v>
      </c>
      <c r="E31" s="484">
        <f t="shared" si="5"/>
        <v>24656</v>
      </c>
      <c r="F31" s="485">
        <f t="shared" si="19"/>
        <v>613841.23893858085</v>
      </c>
      <c r="G31" s="486">
        <f t="shared" si="20"/>
        <v>90835</v>
      </c>
      <c r="H31" s="455">
        <f t="shared" si="21"/>
        <v>90835</v>
      </c>
      <c r="I31" s="475">
        <f t="shared" si="6"/>
        <v>0</v>
      </c>
      <c r="J31" s="475"/>
      <c r="K31" s="487"/>
      <c r="L31" s="478">
        <f t="shared" si="22"/>
        <v>0</v>
      </c>
      <c r="M31" s="487"/>
      <c r="N31" s="478">
        <f t="shared" si="11"/>
        <v>0</v>
      </c>
      <c r="O31" s="478">
        <f t="shared" si="12"/>
        <v>0</v>
      </c>
      <c r="P31" s="242"/>
    </row>
    <row r="32" spans="2:16">
      <c r="B32" s="160" t="str">
        <f t="shared" si="7"/>
        <v/>
      </c>
      <c r="C32" s="472">
        <f>IF(D11="","-",+C31+1)</f>
        <v>2028</v>
      </c>
      <c r="D32" s="485">
        <f>IF(F31+SUM(E$17:E31)=D$10,F31,D$10-SUM(E$17:E31))</f>
        <v>613841.23893858085</v>
      </c>
      <c r="E32" s="484">
        <f t="shared" si="5"/>
        <v>24656</v>
      </c>
      <c r="F32" s="485">
        <f t="shared" si="19"/>
        <v>589185.23893858085</v>
      </c>
      <c r="G32" s="486">
        <f t="shared" si="20"/>
        <v>88177</v>
      </c>
      <c r="H32" s="455">
        <f t="shared" si="21"/>
        <v>88177</v>
      </c>
      <c r="I32" s="475">
        <f t="shared" si="6"/>
        <v>0</v>
      </c>
      <c r="J32" s="475"/>
      <c r="K32" s="487"/>
      <c r="L32" s="478">
        <f t="shared" si="22"/>
        <v>0</v>
      </c>
      <c r="M32" s="487"/>
      <c r="N32" s="478">
        <f t="shared" si="11"/>
        <v>0</v>
      </c>
      <c r="O32" s="478">
        <f t="shared" si="12"/>
        <v>0</v>
      </c>
      <c r="P32" s="242"/>
    </row>
    <row r="33" spans="2:16">
      <c r="B33" s="160" t="str">
        <f t="shared" si="7"/>
        <v/>
      </c>
      <c r="C33" s="472">
        <f>IF(D11="","-",+C32+1)</f>
        <v>2029</v>
      </c>
      <c r="D33" s="485">
        <f>IF(F32+SUM(E$17:E32)=D$10,F32,D$10-SUM(E$17:E32))</f>
        <v>589185.23893858085</v>
      </c>
      <c r="E33" s="484">
        <f t="shared" si="5"/>
        <v>24656</v>
      </c>
      <c r="F33" s="485">
        <f t="shared" si="19"/>
        <v>564529.23893858085</v>
      </c>
      <c r="G33" s="486">
        <f t="shared" si="20"/>
        <v>85519</v>
      </c>
      <c r="H33" s="455">
        <f t="shared" si="21"/>
        <v>85519</v>
      </c>
      <c r="I33" s="475">
        <f t="shared" si="6"/>
        <v>0</v>
      </c>
      <c r="J33" s="475"/>
      <c r="K33" s="487"/>
      <c r="L33" s="478">
        <f t="shared" si="22"/>
        <v>0</v>
      </c>
      <c r="M33" s="487"/>
      <c r="N33" s="478">
        <f t="shared" si="11"/>
        <v>0</v>
      </c>
      <c r="O33" s="478">
        <f t="shared" si="12"/>
        <v>0</v>
      </c>
      <c r="P33" s="242"/>
    </row>
    <row r="34" spans="2:16">
      <c r="B34" s="160" t="str">
        <f t="shared" si="7"/>
        <v/>
      </c>
      <c r="C34" s="472">
        <f>IF(D11="","-",+C33+1)</f>
        <v>2030</v>
      </c>
      <c r="D34" s="485">
        <f>IF(F33+SUM(E$17:E33)=D$10,F33,D$10-SUM(E$17:E33))</f>
        <v>564529.23893858085</v>
      </c>
      <c r="E34" s="484">
        <f t="shared" si="5"/>
        <v>24656</v>
      </c>
      <c r="F34" s="485">
        <f t="shared" si="19"/>
        <v>539873.23893858085</v>
      </c>
      <c r="G34" s="486">
        <f t="shared" si="20"/>
        <v>82860</v>
      </c>
      <c r="H34" s="455">
        <f t="shared" si="21"/>
        <v>82860</v>
      </c>
      <c r="I34" s="475">
        <f t="shared" si="6"/>
        <v>0</v>
      </c>
      <c r="J34" s="475"/>
      <c r="K34" s="487"/>
      <c r="L34" s="478">
        <f t="shared" si="22"/>
        <v>0</v>
      </c>
      <c r="M34" s="487"/>
      <c r="N34" s="478">
        <f t="shared" si="11"/>
        <v>0</v>
      </c>
      <c r="O34" s="478">
        <f t="shared" si="12"/>
        <v>0</v>
      </c>
      <c r="P34" s="242"/>
    </row>
    <row r="35" spans="2:16">
      <c r="B35" s="160" t="str">
        <f t="shared" si="7"/>
        <v/>
      </c>
      <c r="C35" s="472">
        <f>IF(D11="","-",+C34+1)</f>
        <v>2031</v>
      </c>
      <c r="D35" s="485">
        <f>IF(F34+SUM(E$17:E34)=D$10,F34,D$10-SUM(E$17:E34))</f>
        <v>539873.23893858085</v>
      </c>
      <c r="E35" s="484">
        <f t="shared" si="5"/>
        <v>24656</v>
      </c>
      <c r="F35" s="485">
        <f t="shared" si="19"/>
        <v>515217.23893858085</v>
      </c>
      <c r="G35" s="486">
        <f t="shared" si="20"/>
        <v>80202</v>
      </c>
      <c r="H35" s="455">
        <f t="shared" si="21"/>
        <v>80202</v>
      </c>
      <c r="I35" s="475">
        <f t="shared" si="6"/>
        <v>0</v>
      </c>
      <c r="J35" s="475"/>
      <c r="K35" s="487"/>
      <c r="L35" s="478">
        <f t="shared" si="22"/>
        <v>0</v>
      </c>
      <c r="M35" s="487"/>
      <c r="N35" s="478">
        <f t="shared" si="11"/>
        <v>0</v>
      </c>
      <c r="O35" s="478">
        <f t="shared" si="12"/>
        <v>0</v>
      </c>
      <c r="P35" s="242"/>
    </row>
    <row r="36" spans="2:16">
      <c r="B36" s="160" t="str">
        <f t="shared" si="7"/>
        <v/>
      </c>
      <c r="C36" s="472">
        <f>IF(D11="","-",+C35+1)</f>
        <v>2032</v>
      </c>
      <c r="D36" s="485">
        <f>IF(F35+SUM(E$17:E35)=D$10,F35,D$10-SUM(E$17:E35))</f>
        <v>515217.23893858085</v>
      </c>
      <c r="E36" s="484">
        <f t="shared" si="5"/>
        <v>24656</v>
      </c>
      <c r="F36" s="485">
        <f t="shared" si="19"/>
        <v>490561.23893858085</v>
      </c>
      <c r="G36" s="486">
        <f t="shared" si="20"/>
        <v>77544</v>
      </c>
      <c r="H36" s="455">
        <f t="shared" si="21"/>
        <v>77544</v>
      </c>
      <c r="I36" s="475">
        <f t="shared" si="6"/>
        <v>0</v>
      </c>
      <c r="J36" s="475"/>
      <c r="K36" s="487"/>
      <c r="L36" s="478">
        <f t="shared" si="22"/>
        <v>0</v>
      </c>
      <c r="M36" s="487"/>
      <c r="N36" s="478">
        <f t="shared" si="11"/>
        <v>0</v>
      </c>
      <c r="O36" s="478">
        <f t="shared" si="12"/>
        <v>0</v>
      </c>
      <c r="P36" s="242"/>
    </row>
    <row r="37" spans="2:16">
      <c r="B37" s="160" t="str">
        <f t="shared" si="7"/>
        <v/>
      </c>
      <c r="C37" s="472">
        <f>IF(D11="","-",+C36+1)</f>
        <v>2033</v>
      </c>
      <c r="D37" s="485">
        <f>IF(F36+SUM(E$17:E36)=D$10,F36,D$10-SUM(E$17:E36))</f>
        <v>490561.23893858085</v>
      </c>
      <c r="E37" s="484">
        <f t="shared" si="5"/>
        <v>24656</v>
      </c>
      <c r="F37" s="485">
        <f t="shared" si="19"/>
        <v>465905.23893858085</v>
      </c>
      <c r="G37" s="486">
        <f t="shared" si="20"/>
        <v>74886</v>
      </c>
      <c r="H37" s="455">
        <f t="shared" si="21"/>
        <v>74886</v>
      </c>
      <c r="I37" s="475">
        <f t="shared" si="6"/>
        <v>0</v>
      </c>
      <c r="J37" s="475"/>
      <c r="K37" s="487"/>
      <c r="L37" s="478">
        <f t="shared" si="22"/>
        <v>0</v>
      </c>
      <c r="M37" s="487"/>
      <c r="N37" s="478">
        <f t="shared" si="11"/>
        <v>0</v>
      </c>
      <c r="O37" s="478">
        <f t="shared" si="12"/>
        <v>0</v>
      </c>
      <c r="P37" s="242"/>
    </row>
    <row r="38" spans="2:16">
      <c r="B38" s="160" t="str">
        <f t="shared" si="7"/>
        <v/>
      </c>
      <c r="C38" s="472">
        <f>IF(D11="","-",+C37+1)</f>
        <v>2034</v>
      </c>
      <c r="D38" s="485">
        <f>IF(F37+SUM(E$17:E37)=D$10,F37,D$10-SUM(E$17:E37))</f>
        <v>465905.23893858085</v>
      </c>
      <c r="E38" s="484">
        <f t="shared" si="5"/>
        <v>24656</v>
      </c>
      <c r="F38" s="485">
        <f t="shared" si="19"/>
        <v>441249.23893858085</v>
      </c>
      <c r="G38" s="486">
        <f t="shared" si="20"/>
        <v>72228</v>
      </c>
      <c r="H38" s="455">
        <f t="shared" si="21"/>
        <v>72228</v>
      </c>
      <c r="I38" s="475">
        <f t="shared" si="6"/>
        <v>0</v>
      </c>
      <c r="J38" s="475"/>
      <c r="K38" s="487"/>
      <c r="L38" s="478">
        <f t="shared" si="22"/>
        <v>0</v>
      </c>
      <c r="M38" s="487"/>
      <c r="N38" s="478">
        <f t="shared" si="11"/>
        <v>0</v>
      </c>
      <c r="O38" s="478">
        <f t="shared" si="12"/>
        <v>0</v>
      </c>
      <c r="P38" s="242"/>
    </row>
    <row r="39" spans="2:16">
      <c r="B39" s="160" t="str">
        <f t="shared" si="7"/>
        <v/>
      </c>
      <c r="C39" s="472">
        <f>IF(D11="","-",+C38+1)</f>
        <v>2035</v>
      </c>
      <c r="D39" s="485">
        <f>IF(F38+SUM(E$17:E38)=D$10,F38,D$10-SUM(E$17:E38))</f>
        <v>441249.23893858085</v>
      </c>
      <c r="E39" s="484">
        <f t="shared" si="5"/>
        <v>24656</v>
      </c>
      <c r="F39" s="485">
        <f t="shared" si="19"/>
        <v>416593.23893858085</v>
      </c>
      <c r="G39" s="486">
        <f t="shared" si="20"/>
        <v>69569</v>
      </c>
      <c r="H39" s="455">
        <f t="shared" si="21"/>
        <v>69569</v>
      </c>
      <c r="I39" s="475">
        <f t="shared" si="6"/>
        <v>0</v>
      </c>
      <c r="J39" s="475"/>
      <c r="K39" s="487"/>
      <c r="L39" s="478">
        <f t="shared" si="22"/>
        <v>0</v>
      </c>
      <c r="M39" s="487"/>
      <c r="N39" s="478">
        <f t="shared" si="11"/>
        <v>0</v>
      </c>
      <c r="O39" s="478">
        <f t="shared" si="12"/>
        <v>0</v>
      </c>
      <c r="P39" s="242"/>
    </row>
    <row r="40" spans="2:16">
      <c r="B40" s="160" t="str">
        <f t="shared" si="7"/>
        <v/>
      </c>
      <c r="C40" s="472">
        <f>IF(D11="","-",+C39+1)</f>
        <v>2036</v>
      </c>
      <c r="D40" s="485">
        <f>IF(F39+SUM(E$17:E39)=D$10,F39,D$10-SUM(E$17:E39))</f>
        <v>416593.23893858085</v>
      </c>
      <c r="E40" s="484">
        <f t="shared" si="5"/>
        <v>24656</v>
      </c>
      <c r="F40" s="485">
        <f t="shared" si="19"/>
        <v>391937.23893858085</v>
      </c>
      <c r="G40" s="486">
        <f t="shared" si="20"/>
        <v>66911</v>
      </c>
      <c r="H40" s="455">
        <f t="shared" si="21"/>
        <v>66911</v>
      </c>
      <c r="I40" s="475">
        <f t="shared" si="6"/>
        <v>0</v>
      </c>
      <c r="J40" s="475"/>
      <c r="K40" s="487"/>
      <c r="L40" s="478">
        <f t="shared" si="22"/>
        <v>0</v>
      </c>
      <c r="M40" s="487"/>
      <c r="N40" s="478">
        <f t="shared" si="11"/>
        <v>0</v>
      </c>
      <c r="O40" s="478">
        <f t="shared" si="12"/>
        <v>0</v>
      </c>
      <c r="P40" s="242"/>
    </row>
    <row r="41" spans="2:16">
      <c r="B41" s="160" t="str">
        <f t="shared" si="7"/>
        <v/>
      </c>
      <c r="C41" s="472">
        <f>IF(D11="","-",+C40+1)</f>
        <v>2037</v>
      </c>
      <c r="D41" s="485">
        <f>IF(F40+SUM(E$17:E40)=D$10,F40,D$10-SUM(E$17:E40))</f>
        <v>391937.23893858085</v>
      </c>
      <c r="E41" s="484">
        <f t="shared" si="5"/>
        <v>24656</v>
      </c>
      <c r="F41" s="485">
        <f t="shared" si="19"/>
        <v>367281.23893858085</v>
      </c>
      <c r="G41" s="486">
        <f t="shared" si="20"/>
        <v>64253</v>
      </c>
      <c r="H41" s="455">
        <f t="shared" si="21"/>
        <v>64253</v>
      </c>
      <c r="I41" s="475">
        <f t="shared" si="6"/>
        <v>0</v>
      </c>
      <c r="J41" s="475"/>
      <c r="K41" s="487"/>
      <c r="L41" s="478">
        <f t="shared" si="22"/>
        <v>0</v>
      </c>
      <c r="M41" s="487"/>
      <c r="N41" s="478">
        <f t="shared" si="11"/>
        <v>0</v>
      </c>
      <c r="O41" s="478">
        <f t="shared" si="12"/>
        <v>0</v>
      </c>
      <c r="P41" s="242"/>
    </row>
    <row r="42" spans="2:16">
      <c r="B42" s="160" t="str">
        <f t="shared" si="7"/>
        <v/>
      </c>
      <c r="C42" s="472">
        <f>IF(D11="","-",+C41+1)</f>
        <v>2038</v>
      </c>
      <c r="D42" s="485">
        <f>IF(F41+SUM(E$17:E41)=D$10,F41,D$10-SUM(E$17:E41))</f>
        <v>367281.23893858085</v>
      </c>
      <c r="E42" s="484">
        <f t="shared" si="5"/>
        <v>24656</v>
      </c>
      <c r="F42" s="485">
        <f t="shared" si="19"/>
        <v>342625.23893858085</v>
      </c>
      <c r="G42" s="486">
        <f t="shared" si="20"/>
        <v>61595</v>
      </c>
      <c r="H42" s="455">
        <f t="shared" si="21"/>
        <v>61595</v>
      </c>
      <c r="I42" s="475">
        <f t="shared" si="6"/>
        <v>0</v>
      </c>
      <c r="J42" s="475"/>
      <c r="K42" s="487"/>
      <c r="L42" s="478">
        <f t="shared" si="22"/>
        <v>0</v>
      </c>
      <c r="M42" s="487"/>
      <c r="N42" s="478">
        <f t="shared" si="11"/>
        <v>0</v>
      </c>
      <c r="O42" s="478">
        <f t="shared" si="12"/>
        <v>0</v>
      </c>
      <c r="P42" s="242"/>
    </row>
    <row r="43" spans="2:16">
      <c r="B43" s="160" t="str">
        <f t="shared" si="7"/>
        <v/>
      </c>
      <c r="C43" s="472">
        <f>IF(D11="","-",+C42+1)</f>
        <v>2039</v>
      </c>
      <c r="D43" s="485">
        <f>IF(F42+SUM(E$17:E42)=D$10,F42,D$10-SUM(E$17:E42))</f>
        <v>342625.23893858085</v>
      </c>
      <c r="E43" s="484">
        <f t="shared" si="5"/>
        <v>24656</v>
      </c>
      <c r="F43" s="485">
        <f t="shared" si="19"/>
        <v>317969.23893858085</v>
      </c>
      <c r="G43" s="486">
        <f t="shared" si="20"/>
        <v>58937</v>
      </c>
      <c r="H43" s="455">
        <f t="shared" si="21"/>
        <v>58937</v>
      </c>
      <c r="I43" s="475">
        <f t="shared" si="6"/>
        <v>0</v>
      </c>
      <c r="J43" s="475"/>
      <c r="K43" s="487"/>
      <c r="L43" s="478">
        <f t="shared" si="22"/>
        <v>0</v>
      </c>
      <c r="M43" s="487"/>
      <c r="N43" s="478">
        <f t="shared" si="11"/>
        <v>0</v>
      </c>
      <c r="O43" s="478">
        <f t="shared" si="12"/>
        <v>0</v>
      </c>
      <c r="P43" s="242"/>
    </row>
    <row r="44" spans="2:16">
      <c r="B44" s="160" t="str">
        <f t="shared" si="7"/>
        <v/>
      </c>
      <c r="C44" s="472">
        <f>IF(D11="","-",+C43+1)</f>
        <v>2040</v>
      </c>
      <c r="D44" s="485">
        <f>IF(F43+SUM(E$17:E43)=D$10,F43,D$10-SUM(E$17:E43))</f>
        <v>317969.23893858085</v>
      </c>
      <c r="E44" s="484">
        <f t="shared" si="5"/>
        <v>24656</v>
      </c>
      <c r="F44" s="485">
        <f t="shared" si="19"/>
        <v>293313.23893858085</v>
      </c>
      <c r="G44" s="486">
        <f t="shared" si="20"/>
        <v>56278</v>
      </c>
      <c r="H44" s="455">
        <f t="shared" si="21"/>
        <v>56278</v>
      </c>
      <c r="I44" s="475">
        <f t="shared" si="6"/>
        <v>0</v>
      </c>
      <c r="J44" s="475"/>
      <c r="K44" s="487"/>
      <c r="L44" s="478">
        <f t="shared" si="22"/>
        <v>0</v>
      </c>
      <c r="M44" s="487"/>
      <c r="N44" s="478">
        <f t="shared" si="11"/>
        <v>0</v>
      </c>
      <c r="O44" s="478">
        <f t="shared" si="12"/>
        <v>0</v>
      </c>
      <c r="P44" s="242"/>
    </row>
    <row r="45" spans="2:16">
      <c r="B45" s="160" t="str">
        <f t="shared" si="7"/>
        <v/>
      </c>
      <c r="C45" s="472">
        <f>IF(D11="","-",+C44+1)</f>
        <v>2041</v>
      </c>
      <c r="D45" s="485">
        <f>IF(F44+SUM(E$17:E44)=D$10,F44,D$10-SUM(E$17:E44))</f>
        <v>293313.23893858085</v>
      </c>
      <c r="E45" s="484">
        <f t="shared" si="5"/>
        <v>24656</v>
      </c>
      <c r="F45" s="485">
        <f t="shared" si="19"/>
        <v>268657.23893858085</v>
      </c>
      <c r="G45" s="486">
        <f t="shared" si="20"/>
        <v>53620</v>
      </c>
      <c r="H45" s="455">
        <f t="shared" si="21"/>
        <v>53620</v>
      </c>
      <c r="I45" s="475">
        <f t="shared" si="6"/>
        <v>0</v>
      </c>
      <c r="J45" s="475"/>
      <c r="K45" s="487"/>
      <c r="L45" s="478">
        <f t="shared" si="22"/>
        <v>0</v>
      </c>
      <c r="M45" s="487"/>
      <c r="N45" s="478">
        <f t="shared" si="11"/>
        <v>0</v>
      </c>
      <c r="O45" s="478">
        <f t="shared" si="12"/>
        <v>0</v>
      </c>
      <c r="P45" s="242"/>
    </row>
    <row r="46" spans="2:16">
      <c r="B46" s="160" t="str">
        <f t="shared" si="7"/>
        <v/>
      </c>
      <c r="C46" s="472">
        <f>IF(D11="","-",+C45+1)</f>
        <v>2042</v>
      </c>
      <c r="D46" s="485">
        <f>IF(F45+SUM(E$17:E45)=D$10,F45,D$10-SUM(E$17:E45))</f>
        <v>268657.23893858085</v>
      </c>
      <c r="E46" s="484">
        <f t="shared" si="5"/>
        <v>24656</v>
      </c>
      <c r="F46" s="485">
        <f t="shared" si="19"/>
        <v>244001.23893858085</v>
      </c>
      <c r="G46" s="486">
        <f t="shared" si="20"/>
        <v>50962</v>
      </c>
      <c r="H46" s="455">
        <f t="shared" si="21"/>
        <v>50962</v>
      </c>
      <c r="I46" s="475">
        <f t="shared" si="6"/>
        <v>0</v>
      </c>
      <c r="J46" s="475"/>
      <c r="K46" s="487"/>
      <c r="L46" s="478">
        <f t="shared" si="22"/>
        <v>0</v>
      </c>
      <c r="M46" s="487"/>
      <c r="N46" s="478">
        <f t="shared" si="11"/>
        <v>0</v>
      </c>
      <c r="O46" s="478">
        <f t="shared" si="12"/>
        <v>0</v>
      </c>
      <c r="P46" s="242"/>
    </row>
    <row r="47" spans="2:16">
      <c r="B47" s="160" t="str">
        <f t="shared" si="7"/>
        <v/>
      </c>
      <c r="C47" s="472">
        <f>IF(D11="","-",+C46+1)</f>
        <v>2043</v>
      </c>
      <c r="D47" s="485">
        <f>IF(F46+SUM(E$17:E46)=D$10,F46,D$10-SUM(E$17:E46))</f>
        <v>244001.23893858085</v>
      </c>
      <c r="E47" s="484">
        <f t="shared" si="5"/>
        <v>24656</v>
      </c>
      <c r="F47" s="485">
        <f t="shared" si="19"/>
        <v>219345.23893858085</v>
      </c>
      <c r="G47" s="486">
        <f t="shared" si="20"/>
        <v>48304</v>
      </c>
      <c r="H47" s="455">
        <f t="shared" si="21"/>
        <v>48304</v>
      </c>
      <c r="I47" s="475">
        <f t="shared" si="6"/>
        <v>0</v>
      </c>
      <c r="J47" s="475"/>
      <c r="K47" s="487"/>
      <c r="L47" s="478">
        <f t="shared" si="22"/>
        <v>0</v>
      </c>
      <c r="M47" s="487"/>
      <c r="N47" s="478">
        <f t="shared" si="11"/>
        <v>0</v>
      </c>
      <c r="O47" s="478">
        <f t="shared" si="12"/>
        <v>0</v>
      </c>
      <c r="P47" s="242"/>
    </row>
    <row r="48" spans="2:16">
      <c r="B48" s="160" t="str">
        <f t="shared" si="7"/>
        <v/>
      </c>
      <c r="C48" s="472">
        <f>IF(D11="","-",+C47+1)</f>
        <v>2044</v>
      </c>
      <c r="D48" s="485">
        <f>IF(F47+SUM(E$17:E47)=D$10,F47,D$10-SUM(E$17:E47))</f>
        <v>219345.23893858085</v>
      </c>
      <c r="E48" s="484">
        <f t="shared" si="5"/>
        <v>24656</v>
      </c>
      <c r="F48" s="485">
        <f t="shared" si="19"/>
        <v>194689.23893858085</v>
      </c>
      <c r="G48" s="486">
        <f t="shared" si="20"/>
        <v>45646</v>
      </c>
      <c r="H48" s="455">
        <f t="shared" si="21"/>
        <v>45646</v>
      </c>
      <c r="I48" s="475">
        <f t="shared" si="6"/>
        <v>0</v>
      </c>
      <c r="J48" s="475"/>
      <c r="K48" s="487"/>
      <c r="L48" s="478">
        <f t="shared" si="22"/>
        <v>0</v>
      </c>
      <c r="M48" s="487"/>
      <c r="N48" s="478">
        <f t="shared" si="11"/>
        <v>0</v>
      </c>
      <c r="O48" s="478">
        <f t="shared" si="12"/>
        <v>0</v>
      </c>
      <c r="P48" s="242"/>
    </row>
    <row r="49" spans="2:16">
      <c r="B49" s="160" t="str">
        <f t="shared" si="7"/>
        <v/>
      </c>
      <c r="C49" s="472">
        <f>IF(D11="","-",+C48+1)</f>
        <v>2045</v>
      </c>
      <c r="D49" s="485">
        <f>IF(F48+SUM(E$17:E48)=D$10,F48,D$10-SUM(E$17:E48))</f>
        <v>194689.23893858085</v>
      </c>
      <c r="E49" s="484">
        <f t="shared" si="5"/>
        <v>24656</v>
      </c>
      <c r="F49" s="485">
        <f t="shared" si="19"/>
        <v>170033.23893858085</v>
      </c>
      <c r="G49" s="486">
        <f t="shared" si="20"/>
        <v>42987</v>
      </c>
      <c r="H49" s="455">
        <f t="shared" si="21"/>
        <v>42987</v>
      </c>
      <c r="I49" s="475">
        <f t="shared" si="6"/>
        <v>0</v>
      </c>
      <c r="J49" s="475"/>
      <c r="K49" s="487"/>
      <c r="L49" s="478">
        <f t="shared" si="22"/>
        <v>0</v>
      </c>
      <c r="M49" s="487"/>
      <c r="N49" s="478">
        <f t="shared" si="11"/>
        <v>0</v>
      </c>
      <c r="O49" s="478">
        <f t="shared" si="12"/>
        <v>0</v>
      </c>
      <c r="P49" s="242"/>
    </row>
    <row r="50" spans="2:16">
      <c r="B50" s="160" t="str">
        <f t="shared" si="7"/>
        <v/>
      </c>
      <c r="C50" s="472">
        <f>IF(D11="","-",+C49+1)</f>
        <v>2046</v>
      </c>
      <c r="D50" s="485">
        <f>IF(F49+SUM(E$17:E49)=D$10,F49,D$10-SUM(E$17:E49))</f>
        <v>170033.23893858085</v>
      </c>
      <c r="E50" s="484">
        <f t="shared" si="5"/>
        <v>24656</v>
      </c>
      <c r="F50" s="485">
        <f t="shared" si="19"/>
        <v>145377.23893858085</v>
      </c>
      <c r="G50" s="486">
        <f t="shared" si="20"/>
        <v>40329</v>
      </c>
      <c r="H50" s="455">
        <f t="shared" si="21"/>
        <v>40329</v>
      </c>
      <c r="I50" s="475">
        <f t="shared" si="6"/>
        <v>0</v>
      </c>
      <c r="J50" s="475"/>
      <c r="K50" s="487"/>
      <c r="L50" s="478">
        <f t="shared" si="22"/>
        <v>0</v>
      </c>
      <c r="M50" s="487"/>
      <c r="N50" s="478">
        <f t="shared" si="11"/>
        <v>0</v>
      </c>
      <c r="O50" s="478">
        <f t="shared" si="12"/>
        <v>0</v>
      </c>
      <c r="P50" s="242"/>
    </row>
    <row r="51" spans="2:16">
      <c r="B51" s="160" t="str">
        <f t="shared" si="7"/>
        <v/>
      </c>
      <c r="C51" s="472">
        <f>IF(D11="","-",+C50+1)</f>
        <v>2047</v>
      </c>
      <c r="D51" s="485">
        <f>IF(F50+SUM(E$17:E50)=D$10,F50,D$10-SUM(E$17:E50))</f>
        <v>145377.23893858085</v>
      </c>
      <c r="E51" s="484">
        <f t="shared" si="5"/>
        <v>24656</v>
      </c>
      <c r="F51" s="485">
        <f t="shared" si="19"/>
        <v>120721.23893858085</v>
      </c>
      <c r="G51" s="486">
        <f t="shared" si="20"/>
        <v>37671</v>
      </c>
      <c r="H51" s="455">
        <f t="shared" si="21"/>
        <v>37671</v>
      </c>
      <c r="I51" s="475">
        <f t="shared" si="6"/>
        <v>0</v>
      </c>
      <c r="J51" s="475"/>
      <c r="K51" s="487"/>
      <c r="L51" s="478">
        <f t="shared" si="22"/>
        <v>0</v>
      </c>
      <c r="M51" s="487"/>
      <c r="N51" s="478">
        <f t="shared" si="11"/>
        <v>0</v>
      </c>
      <c r="O51" s="478">
        <f t="shared" si="12"/>
        <v>0</v>
      </c>
      <c r="P51" s="242"/>
    </row>
    <row r="52" spans="2:16">
      <c r="B52" s="160" t="str">
        <f t="shared" si="7"/>
        <v/>
      </c>
      <c r="C52" s="472">
        <f>IF(D11="","-",+C51+1)</f>
        <v>2048</v>
      </c>
      <c r="D52" s="485">
        <f>IF(F51+SUM(E$17:E51)=D$10,F51,D$10-SUM(E$17:E51))</f>
        <v>120721.23893858085</v>
      </c>
      <c r="E52" s="484">
        <f t="shared" si="5"/>
        <v>24656</v>
      </c>
      <c r="F52" s="485">
        <f t="shared" si="19"/>
        <v>96065.238938580849</v>
      </c>
      <c r="G52" s="486">
        <f t="shared" si="20"/>
        <v>35013</v>
      </c>
      <c r="H52" s="455">
        <f t="shared" si="21"/>
        <v>35013</v>
      </c>
      <c r="I52" s="475">
        <f t="shared" si="6"/>
        <v>0</v>
      </c>
      <c r="J52" s="475"/>
      <c r="K52" s="487"/>
      <c r="L52" s="478">
        <f t="shared" si="22"/>
        <v>0</v>
      </c>
      <c r="M52" s="487"/>
      <c r="N52" s="478">
        <f t="shared" si="11"/>
        <v>0</v>
      </c>
      <c r="O52" s="478">
        <f t="shared" si="12"/>
        <v>0</v>
      </c>
      <c r="P52" s="242"/>
    </row>
    <row r="53" spans="2:16">
      <c r="B53" s="160" t="str">
        <f t="shared" si="7"/>
        <v/>
      </c>
      <c r="C53" s="472">
        <f>IF(D11="","-",+C52+1)</f>
        <v>2049</v>
      </c>
      <c r="D53" s="485">
        <f>IF(F52+SUM(E$17:E52)=D$10,F52,D$10-SUM(E$17:E52))</f>
        <v>96065.238938580849</v>
      </c>
      <c r="E53" s="484">
        <f t="shared" si="5"/>
        <v>24656</v>
      </c>
      <c r="F53" s="485">
        <f t="shared" si="19"/>
        <v>71409.238938580849</v>
      </c>
      <c r="G53" s="486">
        <f t="shared" si="20"/>
        <v>32355</v>
      </c>
      <c r="H53" s="455">
        <f t="shared" si="21"/>
        <v>32355</v>
      </c>
      <c r="I53" s="475">
        <f t="shared" si="6"/>
        <v>0</v>
      </c>
      <c r="J53" s="475"/>
      <c r="K53" s="487"/>
      <c r="L53" s="478">
        <f t="shared" si="22"/>
        <v>0</v>
      </c>
      <c r="M53" s="487"/>
      <c r="N53" s="478">
        <f t="shared" si="11"/>
        <v>0</v>
      </c>
      <c r="O53" s="478">
        <f t="shared" si="12"/>
        <v>0</v>
      </c>
      <c r="P53" s="242"/>
    </row>
    <row r="54" spans="2:16">
      <c r="B54" s="160" t="str">
        <f t="shared" si="7"/>
        <v/>
      </c>
      <c r="C54" s="472">
        <f>IF(D11="","-",+C53+1)</f>
        <v>2050</v>
      </c>
      <c r="D54" s="485">
        <f>IF(F53+SUM(E$17:E53)=D$10,F53,D$10-SUM(E$17:E53))</f>
        <v>71409.238938580849</v>
      </c>
      <c r="E54" s="484">
        <f t="shared" si="5"/>
        <v>24656</v>
      </c>
      <c r="F54" s="485">
        <f t="shared" si="19"/>
        <v>46753.238938580849</v>
      </c>
      <c r="G54" s="486">
        <f t="shared" si="20"/>
        <v>29697</v>
      </c>
      <c r="H54" s="455">
        <f t="shared" si="21"/>
        <v>29697</v>
      </c>
      <c r="I54" s="475">
        <f t="shared" si="6"/>
        <v>0</v>
      </c>
      <c r="J54" s="475"/>
      <c r="K54" s="487"/>
      <c r="L54" s="478">
        <f t="shared" si="22"/>
        <v>0</v>
      </c>
      <c r="M54" s="487"/>
      <c r="N54" s="478">
        <f t="shared" si="11"/>
        <v>0</v>
      </c>
      <c r="O54" s="478">
        <f t="shared" si="12"/>
        <v>0</v>
      </c>
      <c r="P54" s="242"/>
    </row>
    <row r="55" spans="2:16">
      <c r="B55" s="160" t="str">
        <f t="shared" si="7"/>
        <v/>
      </c>
      <c r="C55" s="472">
        <f>IF(D11="","-",+C54+1)</f>
        <v>2051</v>
      </c>
      <c r="D55" s="485">
        <f>IF(F54+SUM(E$17:E54)=D$10,F54,D$10-SUM(E$17:E54))</f>
        <v>46753.238938580849</v>
      </c>
      <c r="E55" s="484">
        <f t="shared" si="5"/>
        <v>24656</v>
      </c>
      <c r="F55" s="485">
        <f t="shared" si="19"/>
        <v>22097.238938580849</v>
      </c>
      <c r="G55" s="486">
        <f t="shared" si="20"/>
        <v>27038</v>
      </c>
      <c r="H55" s="455">
        <f t="shared" si="21"/>
        <v>27038</v>
      </c>
      <c r="I55" s="475">
        <f t="shared" si="6"/>
        <v>0</v>
      </c>
      <c r="J55" s="475"/>
      <c r="K55" s="487"/>
      <c r="L55" s="478">
        <f t="shared" si="22"/>
        <v>0</v>
      </c>
      <c r="M55" s="487"/>
      <c r="N55" s="478">
        <f t="shared" si="11"/>
        <v>0</v>
      </c>
      <c r="O55" s="478">
        <f t="shared" si="12"/>
        <v>0</v>
      </c>
      <c r="P55" s="242"/>
    </row>
    <row r="56" spans="2:16">
      <c r="B56" s="160" t="str">
        <f t="shared" si="7"/>
        <v/>
      </c>
      <c r="C56" s="472">
        <f>IF(D11="","-",+C55+1)</f>
        <v>2052</v>
      </c>
      <c r="D56" s="485">
        <f>IF(F55+SUM(E$17:E55)=D$10,F55,D$10-SUM(E$17:E55))</f>
        <v>22097.238938580849</v>
      </c>
      <c r="E56" s="484">
        <f t="shared" si="5"/>
        <v>22097.238938580849</v>
      </c>
      <c r="F56" s="485">
        <f t="shared" si="19"/>
        <v>0</v>
      </c>
      <c r="G56" s="486">
        <f t="shared" si="20"/>
        <v>22097.238938580849</v>
      </c>
      <c r="H56" s="455">
        <f t="shared" si="21"/>
        <v>22097.238938580849</v>
      </c>
      <c r="I56" s="475">
        <f t="shared" si="6"/>
        <v>0</v>
      </c>
      <c r="J56" s="475"/>
      <c r="K56" s="487"/>
      <c r="L56" s="478">
        <f t="shared" si="22"/>
        <v>0</v>
      </c>
      <c r="M56" s="487"/>
      <c r="N56" s="478">
        <f t="shared" si="11"/>
        <v>0</v>
      </c>
      <c r="O56" s="478">
        <f t="shared" si="12"/>
        <v>0</v>
      </c>
      <c r="P56" s="242"/>
    </row>
    <row r="57" spans="2:16">
      <c r="B57" s="160" t="str">
        <f t="shared" si="7"/>
        <v/>
      </c>
      <c r="C57" s="472">
        <f>IF(D11="","-",+C56+1)</f>
        <v>2053</v>
      </c>
      <c r="D57" s="485">
        <f>IF(F56+SUM(E$17:E56)=D$10,F56,D$10-SUM(E$17:E56))</f>
        <v>0</v>
      </c>
      <c r="E57" s="484">
        <f t="shared" si="5"/>
        <v>0</v>
      </c>
      <c r="F57" s="485">
        <f t="shared" si="19"/>
        <v>0</v>
      </c>
      <c r="G57" s="486">
        <f t="shared" si="20"/>
        <v>0</v>
      </c>
      <c r="H57" s="455">
        <f t="shared" si="21"/>
        <v>0</v>
      </c>
      <c r="I57" s="475">
        <f t="shared" si="6"/>
        <v>0</v>
      </c>
      <c r="J57" s="475"/>
      <c r="K57" s="487"/>
      <c r="L57" s="478">
        <f t="shared" si="22"/>
        <v>0</v>
      </c>
      <c r="M57" s="487"/>
      <c r="N57" s="478">
        <f t="shared" si="11"/>
        <v>0</v>
      </c>
      <c r="O57" s="478">
        <f t="shared" si="12"/>
        <v>0</v>
      </c>
      <c r="P57" s="242"/>
    </row>
    <row r="58" spans="2:16">
      <c r="B58" s="160" t="str">
        <f t="shared" si="7"/>
        <v/>
      </c>
      <c r="C58" s="472">
        <f>IF(D11="","-",+C57+1)</f>
        <v>2054</v>
      </c>
      <c r="D58" s="485">
        <f>IF(F57+SUM(E$17:E57)=D$10,F57,D$10-SUM(E$17:E57))</f>
        <v>0</v>
      </c>
      <c r="E58" s="484">
        <f t="shared" si="5"/>
        <v>0</v>
      </c>
      <c r="F58" s="485">
        <f t="shared" si="19"/>
        <v>0</v>
      </c>
      <c r="G58" s="486">
        <f t="shared" si="20"/>
        <v>0</v>
      </c>
      <c r="H58" s="455">
        <f t="shared" si="21"/>
        <v>0</v>
      </c>
      <c r="I58" s="475">
        <f t="shared" si="6"/>
        <v>0</v>
      </c>
      <c r="J58" s="475"/>
      <c r="K58" s="487"/>
      <c r="L58" s="478">
        <f t="shared" si="22"/>
        <v>0</v>
      </c>
      <c r="M58" s="487"/>
      <c r="N58" s="478">
        <f t="shared" si="11"/>
        <v>0</v>
      </c>
      <c r="O58" s="478">
        <f t="shared" si="12"/>
        <v>0</v>
      </c>
      <c r="P58" s="242"/>
    </row>
    <row r="59" spans="2:16">
      <c r="B59" s="160" t="str">
        <f t="shared" si="7"/>
        <v/>
      </c>
      <c r="C59" s="472">
        <f>IF(D11="","-",+C58+1)</f>
        <v>2055</v>
      </c>
      <c r="D59" s="485">
        <f>IF(F58+SUM(E$17:E58)=D$10,F58,D$10-SUM(E$17:E58))</f>
        <v>0</v>
      </c>
      <c r="E59" s="484">
        <f t="shared" si="5"/>
        <v>0</v>
      </c>
      <c r="F59" s="485">
        <f t="shared" si="19"/>
        <v>0</v>
      </c>
      <c r="G59" s="486">
        <f t="shared" si="20"/>
        <v>0</v>
      </c>
      <c r="H59" s="455">
        <f t="shared" si="21"/>
        <v>0</v>
      </c>
      <c r="I59" s="475">
        <f t="shared" si="6"/>
        <v>0</v>
      </c>
      <c r="J59" s="475"/>
      <c r="K59" s="487"/>
      <c r="L59" s="478">
        <f t="shared" si="22"/>
        <v>0</v>
      </c>
      <c r="M59" s="487"/>
      <c r="N59" s="478">
        <f t="shared" si="11"/>
        <v>0</v>
      </c>
      <c r="O59" s="478">
        <f t="shared" si="12"/>
        <v>0</v>
      </c>
      <c r="P59" s="242"/>
    </row>
    <row r="60" spans="2:16">
      <c r="B60" s="160" t="str">
        <f t="shared" si="7"/>
        <v/>
      </c>
      <c r="C60" s="472">
        <f>IF(D11="","-",+C59+1)</f>
        <v>2056</v>
      </c>
      <c r="D60" s="485">
        <f>IF(F59+SUM(E$17:E59)=D$10,F59,D$10-SUM(E$17:E59))</f>
        <v>0</v>
      </c>
      <c r="E60" s="484">
        <f t="shared" si="5"/>
        <v>0</v>
      </c>
      <c r="F60" s="485">
        <f t="shared" si="19"/>
        <v>0</v>
      </c>
      <c r="G60" s="486">
        <f t="shared" si="20"/>
        <v>0</v>
      </c>
      <c r="H60" s="455">
        <f t="shared" si="21"/>
        <v>0</v>
      </c>
      <c r="I60" s="475">
        <f t="shared" si="6"/>
        <v>0</v>
      </c>
      <c r="J60" s="475"/>
      <c r="K60" s="487"/>
      <c r="L60" s="478">
        <f t="shared" si="22"/>
        <v>0</v>
      </c>
      <c r="M60" s="487"/>
      <c r="N60" s="478">
        <f t="shared" si="11"/>
        <v>0</v>
      </c>
      <c r="O60" s="478">
        <f t="shared" si="12"/>
        <v>0</v>
      </c>
      <c r="P60" s="242"/>
    </row>
    <row r="61" spans="2:16">
      <c r="B61" s="160" t="str">
        <f t="shared" si="7"/>
        <v/>
      </c>
      <c r="C61" s="472">
        <f>IF(D11="","-",+C60+1)</f>
        <v>2057</v>
      </c>
      <c r="D61" s="485">
        <f>IF(F60+SUM(E$17:E60)=D$10,F60,D$10-SUM(E$17:E60))</f>
        <v>0</v>
      </c>
      <c r="E61" s="484">
        <f t="shared" si="5"/>
        <v>0</v>
      </c>
      <c r="F61" s="485">
        <f t="shared" si="19"/>
        <v>0</v>
      </c>
      <c r="G61" s="486">
        <f t="shared" si="20"/>
        <v>0</v>
      </c>
      <c r="H61" s="455">
        <f t="shared" si="21"/>
        <v>0</v>
      </c>
      <c r="I61" s="475">
        <f t="shared" si="6"/>
        <v>0</v>
      </c>
      <c r="J61" s="475"/>
      <c r="K61" s="487"/>
      <c r="L61" s="478">
        <f t="shared" si="22"/>
        <v>0</v>
      </c>
      <c r="M61" s="487"/>
      <c r="N61" s="478">
        <f t="shared" si="11"/>
        <v>0</v>
      </c>
      <c r="O61" s="478">
        <f t="shared" si="12"/>
        <v>0</v>
      </c>
      <c r="P61" s="242"/>
    </row>
    <row r="62" spans="2:16">
      <c r="B62" s="160" t="str">
        <f t="shared" si="7"/>
        <v/>
      </c>
      <c r="C62" s="472">
        <f>IF(D11="","-",+C61+1)</f>
        <v>2058</v>
      </c>
      <c r="D62" s="485">
        <f>IF(F61+SUM(E$17:E61)=D$10,F61,D$10-SUM(E$17:E61))</f>
        <v>0</v>
      </c>
      <c r="E62" s="484">
        <f t="shared" si="5"/>
        <v>0</v>
      </c>
      <c r="F62" s="485">
        <f t="shared" si="19"/>
        <v>0</v>
      </c>
      <c r="G62" s="486">
        <f t="shared" si="20"/>
        <v>0</v>
      </c>
      <c r="H62" s="455">
        <f t="shared" si="21"/>
        <v>0</v>
      </c>
      <c r="I62" s="475">
        <f t="shared" si="6"/>
        <v>0</v>
      </c>
      <c r="J62" s="475"/>
      <c r="K62" s="487"/>
      <c r="L62" s="478">
        <f t="shared" si="22"/>
        <v>0</v>
      </c>
      <c r="M62" s="487"/>
      <c r="N62" s="478">
        <f t="shared" si="11"/>
        <v>0</v>
      </c>
      <c r="O62" s="478">
        <f t="shared" si="12"/>
        <v>0</v>
      </c>
      <c r="P62" s="242"/>
    </row>
    <row r="63" spans="2:16">
      <c r="B63" s="160" t="str">
        <f t="shared" si="7"/>
        <v/>
      </c>
      <c r="C63" s="472">
        <f>IF(D11="","-",+C62+1)</f>
        <v>2059</v>
      </c>
      <c r="D63" s="485">
        <f>IF(F62+SUM(E$17:E62)=D$10,F62,D$10-SUM(E$17:E62))</f>
        <v>0</v>
      </c>
      <c r="E63" s="484">
        <f t="shared" si="5"/>
        <v>0</v>
      </c>
      <c r="F63" s="485">
        <f t="shared" si="19"/>
        <v>0</v>
      </c>
      <c r="G63" s="486">
        <f t="shared" si="20"/>
        <v>0</v>
      </c>
      <c r="H63" s="455">
        <f t="shared" si="21"/>
        <v>0</v>
      </c>
      <c r="I63" s="475">
        <f t="shared" si="6"/>
        <v>0</v>
      </c>
      <c r="J63" s="475"/>
      <c r="K63" s="487"/>
      <c r="L63" s="478">
        <f t="shared" si="22"/>
        <v>0</v>
      </c>
      <c r="M63" s="487"/>
      <c r="N63" s="478">
        <f t="shared" si="11"/>
        <v>0</v>
      </c>
      <c r="O63" s="478">
        <f t="shared" si="12"/>
        <v>0</v>
      </c>
      <c r="P63" s="242"/>
    </row>
    <row r="64" spans="2:16">
      <c r="B64" s="160" t="str">
        <f t="shared" si="7"/>
        <v/>
      </c>
      <c r="C64" s="472">
        <f>IF(D11="","-",+C63+1)</f>
        <v>2060</v>
      </c>
      <c r="D64" s="485">
        <f>IF(F63+SUM(E$17:E63)=D$10,F63,D$10-SUM(E$17:E63))</f>
        <v>0</v>
      </c>
      <c r="E64" s="484">
        <f t="shared" si="5"/>
        <v>0</v>
      </c>
      <c r="F64" s="485">
        <f t="shared" si="19"/>
        <v>0</v>
      </c>
      <c r="G64" s="486">
        <f t="shared" si="20"/>
        <v>0</v>
      </c>
      <c r="H64" s="455">
        <f t="shared" si="21"/>
        <v>0</v>
      </c>
      <c r="I64" s="475">
        <f t="shared" si="6"/>
        <v>0</v>
      </c>
      <c r="J64" s="475"/>
      <c r="K64" s="487"/>
      <c r="L64" s="478">
        <f t="shared" si="22"/>
        <v>0</v>
      </c>
      <c r="M64" s="487"/>
      <c r="N64" s="478">
        <f t="shared" si="11"/>
        <v>0</v>
      </c>
      <c r="O64" s="478">
        <f t="shared" si="12"/>
        <v>0</v>
      </c>
      <c r="P64" s="242"/>
    </row>
    <row r="65" spans="2:16">
      <c r="B65" s="160" t="str">
        <f t="shared" si="7"/>
        <v/>
      </c>
      <c r="C65" s="472">
        <f>IF(D11="","-",+C64+1)</f>
        <v>2061</v>
      </c>
      <c r="D65" s="485">
        <f>IF(F64+SUM(E$17:E64)=D$10,F64,D$10-SUM(E$17:E64))</f>
        <v>0</v>
      </c>
      <c r="E65" s="484">
        <f t="shared" si="5"/>
        <v>0</v>
      </c>
      <c r="F65" s="485">
        <f t="shared" si="19"/>
        <v>0</v>
      </c>
      <c r="G65" s="486">
        <f t="shared" si="20"/>
        <v>0</v>
      </c>
      <c r="H65" s="455">
        <f t="shared" si="21"/>
        <v>0</v>
      </c>
      <c r="I65" s="475">
        <f t="shared" si="6"/>
        <v>0</v>
      </c>
      <c r="J65" s="475"/>
      <c r="K65" s="487"/>
      <c r="L65" s="478">
        <f t="shared" si="22"/>
        <v>0</v>
      </c>
      <c r="M65" s="487"/>
      <c r="N65" s="478">
        <f t="shared" si="11"/>
        <v>0</v>
      </c>
      <c r="O65" s="478">
        <f t="shared" si="12"/>
        <v>0</v>
      </c>
      <c r="P65" s="242"/>
    </row>
    <row r="66" spans="2:16">
      <c r="B66" s="160" t="str">
        <f t="shared" si="7"/>
        <v/>
      </c>
      <c r="C66" s="472">
        <f>IF(D11="","-",+C65+1)</f>
        <v>2062</v>
      </c>
      <c r="D66" s="485">
        <f>IF(F65+SUM(E$17:E65)=D$10,F65,D$10-SUM(E$17:E65))</f>
        <v>0</v>
      </c>
      <c r="E66" s="484">
        <f t="shared" si="5"/>
        <v>0</v>
      </c>
      <c r="F66" s="485">
        <f t="shared" si="19"/>
        <v>0</v>
      </c>
      <c r="G66" s="486">
        <f t="shared" si="20"/>
        <v>0</v>
      </c>
      <c r="H66" s="455">
        <f t="shared" si="21"/>
        <v>0</v>
      </c>
      <c r="I66" s="475">
        <f t="shared" si="6"/>
        <v>0</v>
      </c>
      <c r="J66" s="475"/>
      <c r="K66" s="487"/>
      <c r="L66" s="478">
        <f t="shared" si="22"/>
        <v>0</v>
      </c>
      <c r="M66" s="487"/>
      <c r="N66" s="478">
        <f t="shared" si="11"/>
        <v>0</v>
      </c>
      <c r="O66" s="478">
        <f t="shared" si="12"/>
        <v>0</v>
      </c>
      <c r="P66" s="242"/>
    </row>
    <row r="67" spans="2:16">
      <c r="B67" s="160" t="str">
        <f t="shared" si="7"/>
        <v/>
      </c>
      <c r="C67" s="472">
        <f>IF(D11="","-",+C66+1)</f>
        <v>2063</v>
      </c>
      <c r="D67" s="485">
        <f>IF(F66+SUM(E$17:E66)=D$10,F66,D$10-SUM(E$17:E66))</f>
        <v>0</v>
      </c>
      <c r="E67" s="484">
        <f t="shared" si="5"/>
        <v>0</v>
      </c>
      <c r="F67" s="485">
        <f t="shared" si="19"/>
        <v>0</v>
      </c>
      <c r="G67" s="486">
        <f t="shared" si="20"/>
        <v>0</v>
      </c>
      <c r="H67" s="455">
        <f t="shared" si="21"/>
        <v>0</v>
      </c>
      <c r="I67" s="475">
        <f t="shared" si="6"/>
        <v>0</v>
      </c>
      <c r="J67" s="475"/>
      <c r="K67" s="487"/>
      <c r="L67" s="478">
        <f t="shared" si="22"/>
        <v>0</v>
      </c>
      <c r="M67" s="487"/>
      <c r="N67" s="478">
        <f t="shared" si="11"/>
        <v>0</v>
      </c>
      <c r="O67" s="478">
        <f t="shared" si="12"/>
        <v>0</v>
      </c>
      <c r="P67" s="242"/>
    </row>
    <row r="68" spans="2:16">
      <c r="B68" s="160" t="str">
        <f t="shared" si="7"/>
        <v/>
      </c>
      <c r="C68" s="472">
        <f>IF(D11="","-",+C67+1)</f>
        <v>2064</v>
      </c>
      <c r="D68" s="485">
        <f>IF(F67+SUM(E$17:E67)=D$10,F67,D$10-SUM(E$17:E67))</f>
        <v>0</v>
      </c>
      <c r="E68" s="484">
        <f t="shared" si="5"/>
        <v>0</v>
      </c>
      <c r="F68" s="485">
        <f t="shared" si="19"/>
        <v>0</v>
      </c>
      <c r="G68" s="486">
        <f t="shared" si="20"/>
        <v>0</v>
      </c>
      <c r="H68" s="455">
        <f t="shared" si="21"/>
        <v>0</v>
      </c>
      <c r="I68" s="475">
        <f t="shared" si="6"/>
        <v>0</v>
      </c>
      <c r="J68" s="475"/>
      <c r="K68" s="487"/>
      <c r="L68" s="478">
        <f t="shared" si="22"/>
        <v>0</v>
      </c>
      <c r="M68" s="487"/>
      <c r="N68" s="478">
        <f t="shared" si="11"/>
        <v>0</v>
      </c>
      <c r="O68" s="478">
        <f t="shared" si="12"/>
        <v>0</v>
      </c>
      <c r="P68" s="242"/>
    </row>
    <row r="69" spans="2:16">
      <c r="B69" s="160" t="str">
        <f t="shared" si="7"/>
        <v/>
      </c>
      <c r="C69" s="472">
        <f>IF(D11="","-",+C68+1)</f>
        <v>2065</v>
      </c>
      <c r="D69" s="485">
        <f>IF(F68+SUM(E$17:E68)=D$10,F68,D$10-SUM(E$17:E68))</f>
        <v>0</v>
      </c>
      <c r="E69" s="484">
        <f t="shared" si="5"/>
        <v>0</v>
      </c>
      <c r="F69" s="485">
        <f t="shared" si="19"/>
        <v>0</v>
      </c>
      <c r="G69" s="486">
        <f t="shared" si="20"/>
        <v>0</v>
      </c>
      <c r="H69" s="455">
        <f t="shared" si="21"/>
        <v>0</v>
      </c>
      <c r="I69" s="475">
        <f t="shared" si="6"/>
        <v>0</v>
      </c>
      <c r="J69" s="475"/>
      <c r="K69" s="487"/>
      <c r="L69" s="478">
        <f t="shared" si="22"/>
        <v>0</v>
      </c>
      <c r="M69" s="487"/>
      <c r="N69" s="478">
        <f t="shared" si="11"/>
        <v>0</v>
      </c>
      <c r="O69" s="478">
        <f t="shared" si="12"/>
        <v>0</v>
      </c>
      <c r="P69" s="242"/>
    </row>
    <row r="70" spans="2:16">
      <c r="B70" s="160" t="str">
        <f t="shared" si="7"/>
        <v/>
      </c>
      <c r="C70" s="472">
        <f>IF(D11="","-",+C69+1)</f>
        <v>2066</v>
      </c>
      <c r="D70" s="485">
        <f>IF(F69+SUM(E$17:E69)=D$10,F69,D$10-SUM(E$17:E69))</f>
        <v>0</v>
      </c>
      <c r="E70" s="484">
        <f t="shared" si="5"/>
        <v>0</v>
      </c>
      <c r="F70" s="485">
        <f t="shared" si="19"/>
        <v>0</v>
      </c>
      <c r="G70" s="486">
        <f t="shared" si="20"/>
        <v>0</v>
      </c>
      <c r="H70" s="455">
        <f t="shared" si="21"/>
        <v>0</v>
      </c>
      <c r="I70" s="475">
        <f t="shared" si="6"/>
        <v>0</v>
      </c>
      <c r="J70" s="475"/>
      <c r="K70" s="487"/>
      <c r="L70" s="478">
        <f t="shared" si="22"/>
        <v>0</v>
      </c>
      <c r="M70" s="487"/>
      <c r="N70" s="478">
        <f t="shared" si="11"/>
        <v>0</v>
      </c>
      <c r="O70" s="478">
        <f t="shared" si="12"/>
        <v>0</v>
      </c>
      <c r="P70" s="242"/>
    </row>
    <row r="71" spans="2:16">
      <c r="B71" s="160" t="str">
        <f t="shared" si="7"/>
        <v/>
      </c>
      <c r="C71" s="472">
        <f>IF(D11="","-",+C70+1)</f>
        <v>2067</v>
      </c>
      <c r="D71" s="485">
        <f>IF(F70+SUM(E$17:E70)=D$10,F70,D$10-SUM(E$17:E70))</f>
        <v>0</v>
      </c>
      <c r="E71" s="484">
        <f t="shared" si="5"/>
        <v>0</v>
      </c>
      <c r="F71" s="485">
        <f t="shared" si="19"/>
        <v>0</v>
      </c>
      <c r="G71" s="486">
        <f t="shared" si="20"/>
        <v>0</v>
      </c>
      <c r="H71" s="455">
        <f t="shared" si="21"/>
        <v>0</v>
      </c>
      <c r="I71" s="475">
        <f t="shared" si="6"/>
        <v>0</v>
      </c>
      <c r="J71" s="475"/>
      <c r="K71" s="487"/>
      <c r="L71" s="478">
        <f t="shared" si="22"/>
        <v>0</v>
      </c>
      <c r="M71" s="487"/>
      <c r="N71" s="478">
        <f t="shared" si="11"/>
        <v>0</v>
      </c>
      <c r="O71" s="478">
        <f t="shared" si="12"/>
        <v>0</v>
      </c>
      <c r="P71" s="242"/>
    </row>
    <row r="72" spans="2:16" ht="13.5" thickBot="1">
      <c r="B72" s="160" t="str">
        <f t="shared" si="7"/>
        <v/>
      </c>
      <c r="C72" s="489">
        <f>IF(D11="","-",+C71+1)</f>
        <v>2068</v>
      </c>
      <c r="D72" s="485">
        <f>IF(F71+SUM(E$17:E71)=D$10,F71,D$10-SUM(E$17:E71))</f>
        <v>0</v>
      </c>
      <c r="E72" s="484">
        <f t="shared" si="5"/>
        <v>0</v>
      </c>
      <c r="F72" s="485">
        <f t="shared" si="19"/>
        <v>0</v>
      </c>
      <c r="G72" s="486">
        <f t="shared" si="20"/>
        <v>0</v>
      </c>
      <c r="H72" s="455">
        <f t="shared" si="21"/>
        <v>0</v>
      </c>
      <c r="I72" s="475">
        <f t="shared" si="6"/>
        <v>0</v>
      </c>
      <c r="J72" s="475"/>
      <c r="K72" s="494"/>
      <c r="L72" s="495">
        <f t="shared" si="22"/>
        <v>0</v>
      </c>
      <c r="M72" s="494"/>
      <c r="N72" s="495">
        <f t="shared" si="11"/>
        <v>0</v>
      </c>
      <c r="O72" s="495">
        <f t="shared" si="12"/>
        <v>0</v>
      </c>
      <c r="P72" s="242"/>
    </row>
    <row r="73" spans="2:16">
      <c r="C73" s="346" t="s">
        <v>77</v>
      </c>
      <c r="D73" s="347"/>
      <c r="E73" s="347">
        <f>SUM(E17:E72)</f>
        <v>1035552</v>
      </c>
      <c r="F73" s="347"/>
      <c r="G73" s="347">
        <f>SUM(G17:G72)</f>
        <v>5128453.6396707576</v>
      </c>
      <c r="H73" s="347">
        <f>SUM(H17:H72)</f>
        <v>5128453.6396707576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14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111352.31037205369</v>
      </c>
      <c r="N87" s="508">
        <f>IF(J92&lt;D11,0,VLOOKUP(J92,C17:O72,11))</f>
        <v>111352.31037205369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124705.62019457563</v>
      </c>
      <c r="N88" s="512">
        <f>IF(J92&lt;D11,0,VLOOKUP(J92,C99:P154,7))</f>
        <v>124705.62019457563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Ashdown West - Craig Junction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13353.309822521944</v>
      </c>
      <c r="N89" s="517">
        <f>+N88-N87</f>
        <v>13353.309822521944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1035552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604" t="s">
        <v>271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24656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2013</v>
      </c>
      <c r="D99" s="584">
        <v>0</v>
      </c>
      <c r="E99" s="585">
        <v>16595</v>
      </c>
      <c r="F99" s="586">
        <v>1018741</v>
      </c>
      <c r="G99" s="605">
        <v>509371</v>
      </c>
      <c r="H99" s="606">
        <v>89910</v>
      </c>
      <c r="I99" s="607">
        <v>89910</v>
      </c>
      <c r="J99" s="478">
        <v>0</v>
      </c>
      <c r="K99" s="478"/>
      <c r="L99" s="476">
        <f t="shared" ref="L99:L104" si="23">H99</f>
        <v>89910</v>
      </c>
      <c r="M99" s="348">
        <f t="shared" ref="M99:M104" si="24">IF(L99&lt;&gt;0,+H99-L99,0)</f>
        <v>0</v>
      </c>
      <c r="N99" s="476">
        <f t="shared" ref="N99:N104" si="25">I99</f>
        <v>89910</v>
      </c>
      <c r="O99" s="475">
        <f t="shared" ref="O99:O104" si="26">IF(N99&lt;&gt;0,+I99-N99,0)</f>
        <v>0</v>
      </c>
      <c r="P99" s="478">
        <f t="shared" ref="P99:P104" si="27">+O99-M99</f>
        <v>0</v>
      </c>
    </row>
    <row r="100" spans="1:16">
      <c r="B100" s="160" t="str">
        <f>IF(D100=F99,"","IU")</f>
        <v>IU</v>
      </c>
      <c r="C100" s="472">
        <f>IF(D93="","-",+C99+1)</f>
        <v>2014</v>
      </c>
      <c r="D100" s="584">
        <v>1018957</v>
      </c>
      <c r="E100" s="585">
        <v>19914</v>
      </c>
      <c r="F100" s="586">
        <v>999043</v>
      </c>
      <c r="G100" s="586">
        <v>1009000</v>
      </c>
      <c r="H100" s="585">
        <v>161775</v>
      </c>
      <c r="I100" s="587">
        <v>161775</v>
      </c>
      <c r="J100" s="478">
        <f>+I100-H100</f>
        <v>0</v>
      </c>
      <c r="K100" s="478"/>
      <c r="L100" s="476">
        <f t="shared" si="23"/>
        <v>161775</v>
      </c>
      <c r="M100" s="348">
        <f t="shared" si="24"/>
        <v>0</v>
      </c>
      <c r="N100" s="476">
        <f t="shared" si="25"/>
        <v>161775</v>
      </c>
      <c r="O100" s="475">
        <f t="shared" si="26"/>
        <v>0</v>
      </c>
      <c r="P100" s="478">
        <f t="shared" si="27"/>
        <v>0</v>
      </c>
    </row>
    <row r="101" spans="1:16">
      <c r="B101" s="160" t="str">
        <f t="shared" ref="B101:B154" si="28">IF(D101=F100,"","IU")</f>
        <v/>
      </c>
      <c r="C101" s="472">
        <f>IF(D93="","-",+C100+1)</f>
        <v>2015</v>
      </c>
      <c r="D101" s="584">
        <v>999043</v>
      </c>
      <c r="E101" s="585">
        <v>19914</v>
      </c>
      <c r="F101" s="586">
        <v>979129</v>
      </c>
      <c r="G101" s="586">
        <v>989086</v>
      </c>
      <c r="H101" s="585">
        <v>154866.83205665913</v>
      </c>
      <c r="I101" s="587">
        <v>154866.83205665913</v>
      </c>
      <c r="J101" s="478">
        <f>+I101-H101</f>
        <v>0</v>
      </c>
      <c r="K101" s="478"/>
      <c r="L101" s="476">
        <f t="shared" si="23"/>
        <v>154866.83205665913</v>
      </c>
      <c r="M101" s="348">
        <f t="shared" si="24"/>
        <v>0</v>
      </c>
      <c r="N101" s="476">
        <f t="shared" si="25"/>
        <v>154866.83205665913</v>
      </c>
      <c r="O101" s="475">
        <f t="shared" si="26"/>
        <v>0</v>
      </c>
      <c r="P101" s="478">
        <f t="shared" si="27"/>
        <v>0</v>
      </c>
    </row>
    <row r="102" spans="1:16">
      <c r="B102" s="160" t="str">
        <f t="shared" si="28"/>
        <v/>
      </c>
      <c r="C102" s="472">
        <f>IF(D93="","-",+C101+1)</f>
        <v>2016</v>
      </c>
      <c r="D102" s="584">
        <v>979129</v>
      </c>
      <c r="E102" s="585">
        <v>22512</v>
      </c>
      <c r="F102" s="586">
        <v>956617</v>
      </c>
      <c r="G102" s="586">
        <v>967873</v>
      </c>
      <c r="H102" s="585">
        <v>147286.07261026395</v>
      </c>
      <c r="I102" s="587">
        <v>147286.07261026395</v>
      </c>
      <c r="J102" s="478">
        <f t="shared" ref="J102:J154" si="29">+I102-H102</f>
        <v>0</v>
      </c>
      <c r="K102" s="478"/>
      <c r="L102" s="476">
        <f t="shared" si="23"/>
        <v>147286.07261026395</v>
      </c>
      <c r="M102" s="348">
        <f t="shared" si="24"/>
        <v>0</v>
      </c>
      <c r="N102" s="476">
        <f t="shared" si="25"/>
        <v>147286.07261026395</v>
      </c>
      <c r="O102" s="475">
        <f t="shared" si="26"/>
        <v>0</v>
      </c>
      <c r="P102" s="478">
        <f t="shared" si="27"/>
        <v>0</v>
      </c>
    </row>
    <row r="103" spans="1:16">
      <c r="B103" s="160" t="str">
        <f t="shared" si="28"/>
        <v/>
      </c>
      <c r="C103" s="472">
        <f>IF(D93="","-",+C102+1)</f>
        <v>2017</v>
      </c>
      <c r="D103" s="584">
        <v>956617</v>
      </c>
      <c r="E103" s="585">
        <v>22512</v>
      </c>
      <c r="F103" s="586">
        <v>934105</v>
      </c>
      <c r="G103" s="586">
        <v>945361</v>
      </c>
      <c r="H103" s="585">
        <v>142433.42657860837</v>
      </c>
      <c r="I103" s="587">
        <v>142433.42657860837</v>
      </c>
      <c r="J103" s="478">
        <f t="shared" si="29"/>
        <v>0</v>
      </c>
      <c r="K103" s="478"/>
      <c r="L103" s="476">
        <f t="shared" si="23"/>
        <v>142433.42657860837</v>
      </c>
      <c r="M103" s="348">
        <f t="shared" si="24"/>
        <v>0</v>
      </c>
      <c r="N103" s="476">
        <f t="shared" si="25"/>
        <v>142433.42657860837</v>
      </c>
      <c r="O103" s="475">
        <f t="shared" si="26"/>
        <v>0</v>
      </c>
      <c r="P103" s="478">
        <f t="shared" si="27"/>
        <v>0</v>
      </c>
    </row>
    <row r="104" spans="1:16">
      <c r="B104" s="160" t="str">
        <f t="shared" si="28"/>
        <v/>
      </c>
      <c r="C104" s="472">
        <f>IF(D93="","-",+C103+1)</f>
        <v>2018</v>
      </c>
      <c r="D104" s="584">
        <v>934105</v>
      </c>
      <c r="E104" s="585">
        <v>24083</v>
      </c>
      <c r="F104" s="586">
        <v>910022</v>
      </c>
      <c r="G104" s="586">
        <v>922063.5</v>
      </c>
      <c r="H104" s="585">
        <v>118811.71632291189</v>
      </c>
      <c r="I104" s="587">
        <v>118811.71632291189</v>
      </c>
      <c r="J104" s="478">
        <f t="shared" si="29"/>
        <v>0</v>
      </c>
      <c r="K104" s="478"/>
      <c r="L104" s="476">
        <f t="shared" si="23"/>
        <v>118811.71632291189</v>
      </c>
      <c r="M104" s="348">
        <f t="shared" si="24"/>
        <v>0</v>
      </c>
      <c r="N104" s="476">
        <f t="shared" si="25"/>
        <v>118811.71632291189</v>
      </c>
      <c r="O104" s="475">
        <f t="shared" si="26"/>
        <v>0</v>
      </c>
      <c r="P104" s="478">
        <f t="shared" si="27"/>
        <v>0</v>
      </c>
    </row>
    <row r="105" spans="1:16">
      <c r="B105" s="160" t="str">
        <f t="shared" si="28"/>
        <v/>
      </c>
      <c r="C105" s="472">
        <f>IF(D93="","-",+C104+1)</f>
        <v>2019</v>
      </c>
      <c r="D105" s="584">
        <v>910022</v>
      </c>
      <c r="E105" s="585">
        <v>25257</v>
      </c>
      <c r="F105" s="586">
        <v>884765</v>
      </c>
      <c r="G105" s="586">
        <v>897393.5</v>
      </c>
      <c r="H105" s="585">
        <v>117790.85676358812</v>
      </c>
      <c r="I105" s="587">
        <v>117790.85676358812</v>
      </c>
      <c r="J105" s="478">
        <f t="shared" si="29"/>
        <v>0</v>
      </c>
      <c r="K105" s="478"/>
      <c r="L105" s="476">
        <f t="shared" ref="L105:L106" si="30">H105</f>
        <v>117790.85676358812</v>
      </c>
      <c r="M105" s="348">
        <f t="shared" ref="M105:M106" si="31">IF(L105&lt;&gt;0,+H105-L105,0)</f>
        <v>0</v>
      </c>
      <c r="N105" s="476">
        <f t="shared" ref="N105:N106" si="32">I105</f>
        <v>117790.85676358812</v>
      </c>
      <c r="O105" s="478">
        <f t="shared" ref="O105:O130" si="33">IF(N105&lt;&gt;0,+I105-N105,0)</f>
        <v>0</v>
      </c>
      <c r="P105" s="478">
        <f t="shared" ref="P105:P130" si="34">+O105-M105</f>
        <v>0</v>
      </c>
    </row>
    <row r="106" spans="1:16">
      <c r="B106" s="160" t="str">
        <f t="shared" si="28"/>
        <v/>
      </c>
      <c r="C106" s="472">
        <f>IF(D93="","-",+C105+1)</f>
        <v>2020</v>
      </c>
      <c r="D106" s="584">
        <v>884765</v>
      </c>
      <c r="E106" s="585">
        <v>24083</v>
      </c>
      <c r="F106" s="586">
        <v>860682</v>
      </c>
      <c r="G106" s="586">
        <v>872723.5</v>
      </c>
      <c r="H106" s="585">
        <v>124705.62019457563</v>
      </c>
      <c r="I106" s="587">
        <v>124705.62019457563</v>
      </c>
      <c r="J106" s="478">
        <f t="shared" si="29"/>
        <v>0</v>
      </c>
      <c r="K106" s="478"/>
      <c r="L106" s="476">
        <f t="shared" si="30"/>
        <v>124705.62019457563</v>
      </c>
      <c r="M106" s="348">
        <f t="shared" si="31"/>
        <v>0</v>
      </c>
      <c r="N106" s="476">
        <f t="shared" si="32"/>
        <v>124705.62019457563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28"/>
        <v/>
      </c>
      <c r="C107" s="472">
        <f>IF(D93="","-",+C106+1)</f>
        <v>2021</v>
      </c>
      <c r="D107" s="346">
        <f>IF(F106+SUM(E$99:E106)=D$92,F106,D$92-SUM(E$99:E106))</f>
        <v>860682</v>
      </c>
      <c r="E107" s="484">
        <f t="shared" ref="E107:E154" si="35">IF(+J$96&lt;F106,J$96,D107)</f>
        <v>24656</v>
      </c>
      <c r="F107" s="485">
        <f t="shared" ref="F107:F154" si="36">+D107-E107</f>
        <v>836026</v>
      </c>
      <c r="G107" s="485">
        <f t="shared" ref="G107:G154" si="37">+(F107+D107)/2</f>
        <v>848354</v>
      </c>
      <c r="H107" s="488">
        <f t="shared" ref="H107:H154" si="38">+J$94*G107+E107</f>
        <v>116118.10162556531</v>
      </c>
      <c r="I107" s="542">
        <f t="shared" ref="I107:I154" si="39">+J$95*G107+E107</f>
        <v>116118.10162556531</v>
      </c>
      <c r="J107" s="478">
        <f t="shared" si="29"/>
        <v>0</v>
      </c>
      <c r="K107" s="478"/>
      <c r="L107" s="487"/>
      <c r="M107" s="478">
        <f t="shared" ref="M107:M130" si="40">IF(L107&lt;&gt;0,+H107-L107,0)</f>
        <v>0</v>
      </c>
      <c r="N107" s="487"/>
      <c r="O107" s="478">
        <f t="shared" si="33"/>
        <v>0</v>
      </c>
      <c r="P107" s="478">
        <f t="shared" si="34"/>
        <v>0</v>
      </c>
    </row>
    <row r="108" spans="1:16">
      <c r="B108" s="160" t="str">
        <f t="shared" si="28"/>
        <v/>
      </c>
      <c r="C108" s="472">
        <f>IF(D93="","-",+C107+1)</f>
        <v>2022</v>
      </c>
      <c r="D108" s="346">
        <f>IF(F107+SUM(E$99:E107)=D$92,F107,D$92-SUM(E$99:E107))</f>
        <v>836026</v>
      </c>
      <c r="E108" s="484">
        <f t="shared" si="35"/>
        <v>24656</v>
      </c>
      <c r="F108" s="485">
        <f t="shared" si="36"/>
        <v>811370</v>
      </c>
      <c r="G108" s="485">
        <f t="shared" si="37"/>
        <v>823698</v>
      </c>
      <c r="H108" s="488">
        <f t="shared" si="38"/>
        <v>113459.90754894172</v>
      </c>
      <c r="I108" s="542">
        <f t="shared" si="39"/>
        <v>113459.90754894172</v>
      </c>
      <c r="J108" s="478">
        <f t="shared" si="29"/>
        <v>0</v>
      </c>
      <c r="K108" s="478"/>
      <c r="L108" s="487"/>
      <c r="M108" s="478">
        <f t="shared" si="40"/>
        <v>0</v>
      </c>
      <c r="N108" s="487"/>
      <c r="O108" s="478">
        <f t="shared" si="33"/>
        <v>0</v>
      </c>
      <c r="P108" s="478">
        <f t="shared" si="34"/>
        <v>0</v>
      </c>
    </row>
    <row r="109" spans="1:16">
      <c r="B109" s="160" t="str">
        <f t="shared" si="28"/>
        <v/>
      </c>
      <c r="C109" s="472">
        <f>IF(D93="","-",+C108+1)</f>
        <v>2023</v>
      </c>
      <c r="D109" s="346">
        <f>IF(F108+SUM(E$99:E108)=D$92,F108,D$92-SUM(E$99:E108))</f>
        <v>811370</v>
      </c>
      <c r="E109" s="484">
        <f t="shared" si="35"/>
        <v>24656</v>
      </c>
      <c r="F109" s="485">
        <f t="shared" si="36"/>
        <v>786714</v>
      </c>
      <c r="G109" s="485">
        <f t="shared" si="37"/>
        <v>799042</v>
      </c>
      <c r="H109" s="488">
        <f t="shared" si="38"/>
        <v>110801.71347231811</v>
      </c>
      <c r="I109" s="542">
        <f t="shared" si="39"/>
        <v>110801.71347231811</v>
      </c>
      <c r="J109" s="478">
        <f t="shared" si="29"/>
        <v>0</v>
      </c>
      <c r="K109" s="478"/>
      <c r="L109" s="487"/>
      <c r="M109" s="478">
        <f t="shared" si="40"/>
        <v>0</v>
      </c>
      <c r="N109" s="487"/>
      <c r="O109" s="478">
        <f t="shared" si="33"/>
        <v>0</v>
      </c>
      <c r="P109" s="478">
        <f t="shared" si="34"/>
        <v>0</v>
      </c>
    </row>
    <row r="110" spans="1:16">
      <c r="B110" s="160" t="str">
        <f t="shared" si="28"/>
        <v/>
      </c>
      <c r="C110" s="472">
        <f>IF(D93="","-",+C109+1)</f>
        <v>2024</v>
      </c>
      <c r="D110" s="346">
        <f>IF(F109+SUM(E$99:E109)=D$92,F109,D$92-SUM(E$99:E109))</f>
        <v>786714</v>
      </c>
      <c r="E110" s="484">
        <f t="shared" si="35"/>
        <v>24656</v>
      </c>
      <c r="F110" s="485">
        <f t="shared" si="36"/>
        <v>762058</v>
      </c>
      <c r="G110" s="485">
        <f t="shared" si="37"/>
        <v>774386</v>
      </c>
      <c r="H110" s="488">
        <f t="shared" si="38"/>
        <v>108143.51939569451</v>
      </c>
      <c r="I110" s="542">
        <f t="shared" si="39"/>
        <v>108143.51939569451</v>
      </c>
      <c r="J110" s="478">
        <f t="shared" si="29"/>
        <v>0</v>
      </c>
      <c r="K110" s="478"/>
      <c r="L110" s="487"/>
      <c r="M110" s="478">
        <f t="shared" si="40"/>
        <v>0</v>
      </c>
      <c r="N110" s="487"/>
      <c r="O110" s="478">
        <f t="shared" si="33"/>
        <v>0</v>
      </c>
      <c r="P110" s="478">
        <f t="shared" si="34"/>
        <v>0</v>
      </c>
    </row>
    <row r="111" spans="1:16">
      <c r="B111" s="160" t="str">
        <f t="shared" si="28"/>
        <v/>
      </c>
      <c r="C111" s="472">
        <f>IF(D93="","-",+C110+1)</f>
        <v>2025</v>
      </c>
      <c r="D111" s="346">
        <f>IF(F110+SUM(E$99:E110)=D$92,F110,D$92-SUM(E$99:E110))</f>
        <v>762058</v>
      </c>
      <c r="E111" s="484">
        <f t="shared" si="35"/>
        <v>24656</v>
      </c>
      <c r="F111" s="485">
        <f t="shared" si="36"/>
        <v>737402</v>
      </c>
      <c r="G111" s="485">
        <f t="shared" si="37"/>
        <v>749730</v>
      </c>
      <c r="H111" s="488">
        <f t="shared" si="38"/>
        <v>105485.32531907091</v>
      </c>
      <c r="I111" s="542">
        <f t="shared" si="39"/>
        <v>105485.32531907091</v>
      </c>
      <c r="J111" s="478">
        <f t="shared" si="29"/>
        <v>0</v>
      </c>
      <c r="K111" s="478"/>
      <c r="L111" s="487"/>
      <c r="M111" s="478">
        <f t="shared" si="40"/>
        <v>0</v>
      </c>
      <c r="N111" s="487"/>
      <c r="O111" s="478">
        <f t="shared" si="33"/>
        <v>0</v>
      </c>
      <c r="P111" s="478">
        <f t="shared" si="34"/>
        <v>0</v>
      </c>
    </row>
    <row r="112" spans="1:16">
      <c r="B112" s="160" t="str">
        <f t="shared" si="28"/>
        <v/>
      </c>
      <c r="C112" s="472">
        <f>IF(D93="","-",+C111+1)</f>
        <v>2026</v>
      </c>
      <c r="D112" s="346">
        <f>IF(F111+SUM(E$99:E111)=D$92,F111,D$92-SUM(E$99:E111))</f>
        <v>737402</v>
      </c>
      <c r="E112" s="484">
        <f t="shared" si="35"/>
        <v>24656</v>
      </c>
      <c r="F112" s="485">
        <f t="shared" si="36"/>
        <v>712746</v>
      </c>
      <c r="G112" s="485">
        <f t="shared" si="37"/>
        <v>725074</v>
      </c>
      <c r="H112" s="488">
        <f t="shared" si="38"/>
        <v>102827.1312424473</v>
      </c>
      <c r="I112" s="542">
        <f t="shared" si="39"/>
        <v>102827.1312424473</v>
      </c>
      <c r="J112" s="478">
        <f t="shared" si="29"/>
        <v>0</v>
      </c>
      <c r="K112" s="478"/>
      <c r="L112" s="487"/>
      <c r="M112" s="478">
        <f t="shared" si="40"/>
        <v>0</v>
      </c>
      <c r="N112" s="487"/>
      <c r="O112" s="478">
        <f t="shared" si="33"/>
        <v>0</v>
      </c>
      <c r="P112" s="478">
        <f t="shared" si="34"/>
        <v>0</v>
      </c>
    </row>
    <row r="113" spans="2:16">
      <c r="B113" s="160" t="str">
        <f t="shared" si="28"/>
        <v/>
      </c>
      <c r="C113" s="472">
        <f>IF(D93="","-",+C112+1)</f>
        <v>2027</v>
      </c>
      <c r="D113" s="346">
        <f>IF(F112+SUM(E$99:E112)=D$92,F112,D$92-SUM(E$99:E112))</f>
        <v>712746</v>
      </c>
      <c r="E113" s="484">
        <f t="shared" si="35"/>
        <v>24656</v>
      </c>
      <c r="F113" s="485">
        <f t="shared" si="36"/>
        <v>688090</v>
      </c>
      <c r="G113" s="485">
        <f t="shared" si="37"/>
        <v>700418</v>
      </c>
      <c r="H113" s="488">
        <f t="shared" si="38"/>
        <v>100168.93716582371</v>
      </c>
      <c r="I113" s="542">
        <f t="shared" si="39"/>
        <v>100168.93716582371</v>
      </c>
      <c r="J113" s="478">
        <f t="shared" si="29"/>
        <v>0</v>
      </c>
      <c r="K113" s="478"/>
      <c r="L113" s="487"/>
      <c r="M113" s="478">
        <f t="shared" si="40"/>
        <v>0</v>
      </c>
      <c r="N113" s="487"/>
      <c r="O113" s="478">
        <f t="shared" si="33"/>
        <v>0</v>
      </c>
      <c r="P113" s="478">
        <f t="shared" si="34"/>
        <v>0</v>
      </c>
    </row>
    <row r="114" spans="2:16">
      <c r="B114" s="160" t="str">
        <f t="shared" si="28"/>
        <v/>
      </c>
      <c r="C114" s="472">
        <f>IF(D93="","-",+C113+1)</f>
        <v>2028</v>
      </c>
      <c r="D114" s="346">
        <f>IF(F113+SUM(E$99:E113)=D$92,F113,D$92-SUM(E$99:E113))</f>
        <v>688090</v>
      </c>
      <c r="E114" s="484">
        <f t="shared" si="35"/>
        <v>24656</v>
      </c>
      <c r="F114" s="485">
        <f t="shared" si="36"/>
        <v>663434</v>
      </c>
      <c r="G114" s="485">
        <f t="shared" si="37"/>
        <v>675762</v>
      </c>
      <c r="H114" s="488">
        <f t="shared" si="38"/>
        <v>97510.743089200099</v>
      </c>
      <c r="I114" s="542">
        <f t="shared" si="39"/>
        <v>97510.743089200099</v>
      </c>
      <c r="J114" s="478">
        <f t="shared" si="29"/>
        <v>0</v>
      </c>
      <c r="K114" s="478"/>
      <c r="L114" s="487"/>
      <c r="M114" s="478">
        <f t="shared" si="40"/>
        <v>0</v>
      </c>
      <c r="N114" s="487"/>
      <c r="O114" s="478">
        <f t="shared" si="33"/>
        <v>0</v>
      </c>
      <c r="P114" s="478">
        <f t="shared" si="34"/>
        <v>0</v>
      </c>
    </row>
    <row r="115" spans="2:16">
      <c r="B115" s="160" t="str">
        <f t="shared" si="28"/>
        <v/>
      </c>
      <c r="C115" s="472">
        <f>IF(D93="","-",+C114+1)</f>
        <v>2029</v>
      </c>
      <c r="D115" s="346">
        <f>IF(F114+SUM(E$99:E114)=D$92,F114,D$92-SUM(E$99:E114))</f>
        <v>663434</v>
      </c>
      <c r="E115" s="484">
        <f t="shared" si="35"/>
        <v>24656</v>
      </c>
      <c r="F115" s="485">
        <f t="shared" si="36"/>
        <v>638778</v>
      </c>
      <c r="G115" s="485">
        <f t="shared" si="37"/>
        <v>651106</v>
      </c>
      <c r="H115" s="488">
        <f t="shared" si="38"/>
        <v>94852.549012576506</v>
      </c>
      <c r="I115" s="542">
        <f t="shared" si="39"/>
        <v>94852.549012576506</v>
      </c>
      <c r="J115" s="478">
        <f t="shared" si="29"/>
        <v>0</v>
      </c>
      <c r="K115" s="478"/>
      <c r="L115" s="487"/>
      <c r="M115" s="478">
        <f t="shared" si="40"/>
        <v>0</v>
      </c>
      <c r="N115" s="487"/>
      <c r="O115" s="478">
        <f t="shared" si="33"/>
        <v>0</v>
      </c>
      <c r="P115" s="478">
        <f t="shared" si="34"/>
        <v>0</v>
      </c>
    </row>
    <row r="116" spans="2:16">
      <c r="B116" s="160" t="str">
        <f t="shared" si="28"/>
        <v/>
      </c>
      <c r="C116" s="472">
        <f>IF(D93="","-",+C115+1)</f>
        <v>2030</v>
      </c>
      <c r="D116" s="346">
        <f>IF(F115+SUM(E$99:E115)=D$92,F115,D$92-SUM(E$99:E115))</f>
        <v>638778</v>
      </c>
      <c r="E116" s="484">
        <f t="shared" si="35"/>
        <v>24656</v>
      </c>
      <c r="F116" s="485">
        <f t="shared" si="36"/>
        <v>614122</v>
      </c>
      <c r="G116" s="485">
        <f t="shared" si="37"/>
        <v>626450</v>
      </c>
      <c r="H116" s="488">
        <f t="shared" si="38"/>
        <v>92194.354935952899</v>
      </c>
      <c r="I116" s="542">
        <f t="shared" si="39"/>
        <v>92194.354935952899</v>
      </c>
      <c r="J116" s="478">
        <f t="shared" si="29"/>
        <v>0</v>
      </c>
      <c r="K116" s="478"/>
      <c r="L116" s="487"/>
      <c r="M116" s="478">
        <f t="shared" si="40"/>
        <v>0</v>
      </c>
      <c r="N116" s="487"/>
      <c r="O116" s="478">
        <f t="shared" si="33"/>
        <v>0</v>
      </c>
      <c r="P116" s="478">
        <f t="shared" si="34"/>
        <v>0</v>
      </c>
    </row>
    <row r="117" spans="2:16">
      <c r="B117" s="160" t="str">
        <f t="shared" si="28"/>
        <v/>
      </c>
      <c r="C117" s="472">
        <f>IF(D93="","-",+C116+1)</f>
        <v>2031</v>
      </c>
      <c r="D117" s="346">
        <f>IF(F116+SUM(E$99:E116)=D$92,F116,D$92-SUM(E$99:E116))</f>
        <v>614122</v>
      </c>
      <c r="E117" s="484">
        <f t="shared" si="35"/>
        <v>24656</v>
      </c>
      <c r="F117" s="485">
        <f t="shared" si="36"/>
        <v>589466</v>
      </c>
      <c r="G117" s="485">
        <f t="shared" si="37"/>
        <v>601794</v>
      </c>
      <c r="H117" s="488">
        <f t="shared" si="38"/>
        <v>89536.160859329306</v>
      </c>
      <c r="I117" s="542">
        <f t="shared" si="39"/>
        <v>89536.160859329306</v>
      </c>
      <c r="J117" s="478">
        <f t="shared" si="29"/>
        <v>0</v>
      </c>
      <c r="K117" s="478"/>
      <c r="L117" s="487"/>
      <c r="M117" s="478">
        <f t="shared" si="40"/>
        <v>0</v>
      </c>
      <c r="N117" s="487"/>
      <c r="O117" s="478">
        <f t="shared" si="33"/>
        <v>0</v>
      </c>
      <c r="P117" s="478">
        <f t="shared" si="34"/>
        <v>0</v>
      </c>
    </row>
    <row r="118" spans="2:16">
      <c r="B118" s="160" t="str">
        <f t="shared" si="28"/>
        <v/>
      </c>
      <c r="C118" s="472">
        <f>IF(D93="","-",+C117+1)</f>
        <v>2032</v>
      </c>
      <c r="D118" s="346">
        <f>IF(F117+SUM(E$99:E117)=D$92,F117,D$92-SUM(E$99:E117))</f>
        <v>589466</v>
      </c>
      <c r="E118" s="484">
        <f t="shared" si="35"/>
        <v>24656</v>
      </c>
      <c r="F118" s="485">
        <f t="shared" si="36"/>
        <v>564810</v>
      </c>
      <c r="G118" s="485">
        <f t="shared" si="37"/>
        <v>577138</v>
      </c>
      <c r="H118" s="488">
        <f t="shared" si="38"/>
        <v>86877.966782705698</v>
      </c>
      <c r="I118" s="542">
        <f t="shared" si="39"/>
        <v>86877.966782705698</v>
      </c>
      <c r="J118" s="478">
        <f t="shared" si="29"/>
        <v>0</v>
      </c>
      <c r="K118" s="478"/>
      <c r="L118" s="487"/>
      <c r="M118" s="478">
        <f t="shared" si="40"/>
        <v>0</v>
      </c>
      <c r="N118" s="487"/>
      <c r="O118" s="478">
        <f t="shared" si="33"/>
        <v>0</v>
      </c>
      <c r="P118" s="478">
        <f t="shared" si="34"/>
        <v>0</v>
      </c>
    </row>
    <row r="119" spans="2:16">
      <c r="B119" s="160" t="str">
        <f t="shared" si="28"/>
        <v/>
      </c>
      <c r="C119" s="472">
        <f>IF(D93="","-",+C118+1)</f>
        <v>2033</v>
      </c>
      <c r="D119" s="346">
        <f>IF(F118+SUM(E$99:E118)=D$92,F118,D$92-SUM(E$99:E118))</f>
        <v>564810</v>
      </c>
      <c r="E119" s="484">
        <f t="shared" si="35"/>
        <v>24656</v>
      </c>
      <c r="F119" s="485">
        <f t="shared" si="36"/>
        <v>540154</v>
      </c>
      <c r="G119" s="485">
        <f t="shared" si="37"/>
        <v>552482</v>
      </c>
      <c r="H119" s="488">
        <f t="shared" si="38"/>
        <v>84219.772706082091</v>
      </c>
      <c r="I119" s="542">
        <f t="shared" si="39"/>
        <v>84219.772706082091</v>
      </c>
      <c r="J119" s="478">
        <f t="shared" si="29"/>
        <v>0</v>
      </c>
      <c r="K119" s="478"/>
      <c r="L119" s="487"/>
      <c r="M119" s="478">
        <f t="shared" si="40"/>
        <v>0</v>
      </c>
      <c r="N119" s="487"/>
      <c r="O119" s="478">
        <f t="shared" si="33"/>
        <v>0</v>
      </c>
      <c r="P119" s="478">
        <f t="shared" si="34"/>
        <v>0</v>
      </c>
    </row>
    <row r="120" spans="2:16">
      <c r="B120" s="160" t="str">
        <f t="shared" si="28"/>
        <v/>
      </c>
      <c r="C120" s="472">
        <f>IF(D93="","-",+C119+1)</f>
        <v>2034</v>
      </c>
      <c r="D120" s="346">
        <f>IF(F119+SUM(E$99:E119)=D$92,F119,D$92-SUM(E$99:E119))</f>
        <v>540154</v>
      </c>
      <c r="E120" s="484">
        <f t="shared" si="35"/>
        <v>24656</v>
      </c>
      <c r="F120" s="485">
        <f t="shared" si="36"/>
        <v>515498</v>
      </c>
      <c r="G120" s="485">
        <f t="shared" si="37"/>
        <v>527826</v>
      </c>
      <c r="H120" s="488">
        <f t="shared" si="38"/>
        <v>81561.578629458498</v>
      </c>
      <c r="I120" s="542">
        <f t="shared" si="39"/>
        <v>81561.578629458498</v>
      </c>
      <c r="J120" s="478">
        <f t="shared" si="29"/>
        <v>0</v>
      </c>
      <c r="K120" s="478"/>
      <c r="L120" s="487"/>
      <c r="M120" s="478">
        <f t="shared" si="40"/>
        <v>0</v>
      </c>
      <c r="N120" s="487"/>
      <c r="O120" s="478">
        <f t="shared" si="33"/>
        <v>0</v>
      </c>
      <c r="P120" s="478">
        <f t="shared" si="34"/>
        <v>0</v>
      </c>
    </row>
    <row r="121" spans="2:16">
      <c r="B121" s="160" t="str">
        <f t="shared" si="28"/>
        <v/>
      </c>
      <c r="C121" s="472">
        <f>IF(D93="","-",+C120+1)</f>
        <v>2035</v>
      </c>
      <c r="D121" s="346">
        <f>IF(F120+SUM(E$99:E120)=D$92,F120,D$92-SUM(E$99:E120))</f>
        <v>515498</v>
      </c>
      <c r="E121" s="484">
        <f t="shared" si="35"/>
        <v>24656</v>
      </c>
      <c r="F121" s="485">
        <f t="shared" si="36"/>
        <v>490842</v>
      </c>
      <c r="G121" s="485">
        <f t="shared" si="37"/>
        <v>503170</v>
      </c>
      <c r="H121" s="488">
        <f t="shared" si="38"/>
        <v>78903.384552834905</v>
      </c>
      <c r="I121" s="542">
        <f t="shared" si="39"/>
        <v>78903.384552834905</v>
      </c>
      <c r="J121" s="478">
        <f t="shared" si="29"/>
        <v>0</v>
      </c>
      <c r="K121" s="478"/>
      <c r="L121" s="487"/>
      <c r="M121" s="478">
        <f t="shared" si="40"/>
        <v>0</v>
      </c>
      <c r="N121" s="487"/>
      <c r="O121" s="478">
        <f t="shared" si="33"/>
        <v>0</v>
      </c>
      <c r="P121" s="478">
        <f t="shared" si="34"/>
        <v>0</v>
      </c>
    </row>
    <row r="122" spans="2:16">
      <c r="B122" s="160" t="str">
        <f t="shared" si="28"/>
        <v/>
      </c>
      <c r="C122" s="472">
        <f>IF(D93="","-",+C121+1)</f>
        <v>2036</v>
      </c>
      <c r="D122" s="346">
        <f>IF(F121+SUM(E$99:E121)=D$92,F121,D$92-SUM(E$99:E121))</f>
        <v>490842</v>
      </c>
      <c r="E122" s="484">
        <f t="shared" si="35"/>
        <v>24656</v>
      </c>
      <c r="F122" s="485">
        <f t="shared" si="36"/>
        <v>466186</v>
      </c>
      <c r="G122" s="485">
        <f t="shared" si="37"/>
        <v>478514</v>
      </c>
      <c r="H122" s="488">
        <f t="shared" si="38"/>
        <v>76245.190476211297</v>
      </c>
      <c r="I122" s="542">
        <f t="shared" si="39"/>
        <v>76245.190476211297</v>
      </c>
      <c r="J122" s="478">
        <f t="shared" si="29"/>
        <v>0</v>
      </c>
      <c r="K122" s="478"/>
      <c r="L122" s="487"/>
      <c r="M122" s="478">
        <f t="shared" si="40"/>
        <v>0</v>
      </c>
      <c r="N122" s="487"/>
      <c r="O122" s="478">
        <f t="shared" si="33"/>
        <v>0</v>
      </c>
      <c r="P122" s="478">
        <f t="shared" si="34"/>
        <v>0</v>
      </c>
    </row>
    <row r="123" spans="2:16">
      <c r="B123" s="160" t="str">
        <f t="shared" si="28"/>
        <v/>
      </c>
      <c r="C123" s="472">
        <f>IF(D93="","-",+C122+1)</f>
        <v>2037</v>
      </c>
      <c r="D123" s="346">
        <f>IF(F122+SUM(E$99:E122)=D$92,F122,D$92-SUM(E$99:E122))</f>
        <v>466186</v>
      </c>
      <c r="E123" s="484">
        <f t="shared" si="35"/>
        <v>24656</v>
      </c>
      <c r="F123" s="485">
        <f t="shared" si="36"/>
        <v>441530</v>
      </c>
      <c r="G123" s="485">
        <f t="shared" si="37"/>
        <v>453858</v>
      </c>
      <c r="H123" s="488">
        <f t="shared" si="38"/>
        <v>73586.99639958769</v>
      </c>
      <c r="I123" s="542">
        <f t="shared" si="39"/>
        <v>73586.99639958769</v>
      </c>
      <c r="J123" s="478">
        <f t="shared" si="29"/>
        <v>0</v>
      </c>
      <c r="K123" s="478"/>
      <c r="L123" s="487"/>
      <c r="M123" s="478">
        <f t="shared" si="40"/>
        <v>0</v>
      </c>
      <c r="N123" s="487"/>
      <c r="O123" s="478">
        <f t="shared" si="33"/>
        <v>0</v>
      </c>
      <c r="P123" s="478">
        <f t="shared" si="34"/>
        <v>0</v>
      </c>
    </row>
    <row r="124" spans="2:16">
      <c r="B124" s="160" t="str">
        <f t="shared" si="28"/>
        <v/>
      </c>
      <c r="C124" s="472">
        <f>IF(D93="","-",+C123+1)</f>
        <v>2038</v>
      </c>
      <c r="D124" s="346">
        <f>IF(F123+SUM(E$99:E123)=D$92,F123,D$92-SUM(E$99:E123))</f>
        <v>441530</v>
      </c>
      <c r="E124" s="484">
        <f t="shared" si="35"/>
        <v>24656</v>
      </c>
      <c r="F124" s="485">
        <f t="shared" si="36"/>
        <v>416874</v>
      </c>
      <c r="G124" s="485">
        <f t="shared" si="37"/>
        <v>429202</v>
      </c>
      <c r="H124" s="488">
        <f t="shared" si="38"/>
        <v>70928.802322964097</v>
      </c>
      <c r="I124" s="542">
        <f t="shared" si="39"/>
        <v>70928.802322964097</v>
      </c>
      <c r="J124" s="478">
        <f t="shared" si="29"/>
        <v>0</v>
      </c>
      <c r="K124" s="478"/>
      <c r="L124" s="487"/>
      <c r="M124" s="478">
        <f t="shared" si="40"/>
        <v>0</v>
      </c>
      <c r="N124" s="487"/>
      <c r="O124" s="478">
        <f t="shared" si="33"/>
        <v>0</v>
      </c>
      <c r="P124" s="478">
        <f t="shared" si="34"/>
        <v>0</v>
      </c>
    </row>
    <row r="125" spans="2:16">
      <c r="B125" s="160" t="str">
        <f t="shared" si="28"/>
        <v/>
      </c>
      <c r="C125" s="472">
        <f>IF(D93="","-",+C124+1)</f>
        <v>2039</v>
      </c>
      <c r="D125" s="346">
        <f>IF(F124+SUM(E$99:E124)=D$92,F124,D$92-SUM(E$99:E124))</f>
        <v>416874</v>
      </c>
      <c r="E125" s="484">
        <f t="shared" si="35"/>
        <v>24656</v>
      </c>
      <c r="F125" s="485">
        <f t="shared" si="36"/>
        <v>392218</v>
      </c>
      <c r="G125" s="485">
        <f t="shared" si="37"/>
        <v>404546</v>
      </c>
      <c r="H125" s="488">
        <f t="shared" si="38"/>
        <v>68270.608246340504</v>
      </c>
      <c r="I125" s="542">
        <f t="shared" si="39"/>
        <v>68270.608246340504</v>
      </c>
      <c r="J125" s="478">
        <f t="shared" si="29"/>
        <v>0</v>
      </c>
      <c r="K125" s="478"/>
      <c r="L125" s="487"/>
      <c r="M125" s="478">
        <f t="shared" si="40"/>
        <v>0</v>
      </c>
      <c r="N125" s="487"/>
      <c r="O125" s="478">
        <f t="shared" si="33"/>
        <v>0</v>
      </c>
      <c r="P125" s="478">
        <f t="shared" si="34"/>
        <v>0</v>
      </c>
    </row>
    <row r="126" spans="2:16">
      <c r="B126" s="160" t="str">
        <f t="shared" si="28"/>
        <v/>
      </c>
      <c r="C126" s="472">
        <f>IF(D93="","-",+C125+1)</f>
        <v>2040</v>
      </c>
      <c r="D126" s="346">
        <f>IF(F125+SUM(E$99:E125)=D$92,F125,D$92-SUM(E$99:E125))</f>
        <v>392218</v>
      </c>
      <c r="E126" s="484">
        <f t="shared" si="35"/>
        <v>24656</v>
      </c>
      <c r="F126" s="485">
        <f t="shared" si="36"/>
        <v>367562</v>
      </c>
      <c r="G126" s="485">
        <f t="shared" si="37"/>
        <v>379890</v>
      </c>
      <c r="H126" s="488">
        <f t="shared" si="38"/>
        <v>65612.414169716896</v>
      </c>
      <c r="I126" s="542">
        <f t="shared" si="39"/>
        <v>65612.414169716896</v>
      </c>
      <c r="J126" s="478">
        <f t="shared" si="29"/>
        <v>0</v>
      </c>
      <c r="K126" s="478"/>
      <c r="L126" s="487"/>
      <c r="M126" s="478">
        <f t="shared" si="40"/>
        <v>0</v>
      </c>
      <c r="N126" s="487"/>
      <c r="O126" s="478">
        <f t="shared" si="33"/>
        <v>0</v>
      </c>
      <c r="P126" s="478">
        <f t="shared" si="34"/>
        <v>0</v>
      </c>
    </row>
    <row r="127" spans="2:16">
      <c r="B127" s="160" t="str">
        <f t="shared" si="28"/>
        <v/>
      </c>
      <c r="C127" s="472">
        <f>IF(D93="","-",+C126+1)</f>
        <v>2041</v>
      </c>
      <c r="D127" s="346">
        <f>IF(F126+SUM(E$99:E126)=D$92,F126,D$92-SUM(E$99:E126))</f>
        <v>367562</v>
      </c>
      <c r="E127" s="484">
        <f t="shared" si="35"/>
        <v>24656</v>
      </c>
      <c r="F127" s="485">
        <f t="shared" si="36"/>
        <v>342906</v>
      </c>
      <c r="G127" s="485">
        <f t="shared" si="37"/>
        <v>355234</v>
      </c>
      <c r="H127" s="488">
        <f t="shared" si="38"/>
        <v>62954.220093093296</v>
      </c>
      <c r="I127" s="542">
        <f t="shared" si="39"/>
        <v>62954.220093093296</v>
      </c>
      <c r="J127" s="478">
        <f t="shared" si="29"/>
        <v>0</v>
      </c>
      <c r="K127" s="478"/>
      <c r="L127" s="487"/>
      <c r="M127" s="478">
        <f t="shared" si="40"/>
        <v>0</v>
      </c>
      <c r="N127" s="487"/>
      <c r="O127" s="478">
        <f t="shared" si="33"/>
        <v>0</v>
      </c>
      <c r="P127" s="478">
        <f t="shared" si="34"/>
        <v>0</v>
      </c>
    </row>
    <row r="128" spans="2:16">
      <c r="B128" s="160" t="str">
        <f t="shared" si="28"/>
        <v/>
      </c>
      <c r="C128" s="472">
        <f>IF(D93="","-",+C127+1)</f>
        <v>2042</v>
      </c>
      <c r="D128" s="346">
        <f>IF(F127+SUM(E$99:E127)=D$92,F127,D$92-SUM(E$99:E127))</f>
        <v>342906</v>
      </c>
      <c r="E128" s="484">
        <f t="shared" si="35"/>
        <v>24656</v>
      </c>
      <c r="F128" s="485">
        <f t="shared" si="36"/>
        <v>318250</v>
      </c>
      <c r="G128" s="485">
        <f t="shared" si="37"/>
        <v>330578</v>
      </c>
      <c r="H128" s="488">
        <f t="shared" si="38"/>
        <v>60296.026016469696</v>
      </c>
      <c r="I128" s="542">
        <f t="shared" si="39"/>
        <v>60296.026016469696</v>
      </c>
      <c r="J128" s="478">
        <f t="shared" si="29"/>
        <v>0</v>
      </c>
      <c r="K128" s="478"/>
      <c r="L128" s="487"/>
      <c r="M128" s="478">
        <f t="shared" si="40"/>
        <v>0</v>
      </c>
      <c r="N128" s="487"/>
      <c r="O128" s="478">
        <f t="shared" si="33"/>
        <v>0</v>
      </c>
      <c r="P128" s="478">
        <f t="shared" si="34"/>
        <v>0</v>
      </c>
    </row>
    <row r="129" spans="2:16">
      <c r="B129" s="160" t="str">
        <f t="shared" si="28"/>
        <v/>
      </c>
      <c r="C129" s="472">
        <f>IF(D93="","-",+C128+1)</f>
        <v>2043</v>
      </c>
      <c r="D129" s="346">
        <f>IF(F128+SUM(E$99:E128)=D$92,F128,D$92-SUM(E$99:E128))</f>
        <v>318250</v>
      </c>
      <c r="E129" s="484">
        <f t="shared" si="35"/>
        <v>24656</v>
      </c>
      <c r="F129" s="485">
        <f t="shared" si="36"/>
        <v>293594</v>
      </c>
      <c r="G129" s="485">
        <f t="shared" si="37"/>
        <v>305922</v>
      </c>
      <c r="H129" s="488">
        <f t="shared" si="38"/>
        <v>57637.831939846088</v>
      </c>
      <c r="I129" s="542">
        <f t="shared" si="39"/>
        <v>57637.831939846088</v>
      </c>
      <c r="J129" s="478">
        <f t="shared" si="29"/>
        <v>0</v>
      </c>
      <c r="K129" s="478"/>
      <c r="L129" s="487"/>
      <c r="M129" s="478">
        <f t="shared" si="40"/>
        <v>0</v>
      </c>
      <c r="N129" s="487"/>
      <c r="O129" s="478">
        <f t="shared" si="33"/>
        <v>0</v>
      </c>
      <c r="P129" s="478">
        <f t="shared" si="34"/>
        <v>0</v>
      </c>
    </row>
    <row r="130" spans="2:16">
      <c r="B130" s="160" t="str">
        <f t="shared" si="28"/>
        <v/>
      </c>
      <c r="C130" s="472">
        <f>IF(D93="","-",+C129+1)</f>
        <v>2044</v>
      </c>
      <c r="D130" s="346">
        <f>IF(F129+SUM(E$99:E129)=D$92,F129,D$92-SUM(E$99:E129))</f>
        <v>293594</v>
      </c>
      <c r="E130" s="484">
        <f t="shared" si="35"/>
        <v>24656</v>
      </c>
      <c r="F130" s="485">
        <f t="shared" si="36"/>
        <v>268938</v>
      </c>
      <c r="G130" s="485">
        <f t="shared" si="37"/>
        <v>281266</v>
      </c>
      <c r="H130" s="488">
        <f t="shared" si="38"/>
        <v>54979.637863222495</v>
      </c>
      <c r="I130" s="542">
        <f t="shared" si="39"/>
        <v>54979.637863222495</v>
      </c>
      <c r="J130" s="478">
        <f t="shared" si="29"/>
        <v>0</v>
      </c>
      <c r="K130" s="478"/>
      <c r="L130" s="487"/>
      <c r="M130" s="478">
        <f t="shared" si="40"/>
        <v>0</v>
      </c>
      <c r="N130" s="487"/>
      <c r="O130" s="478">
        <f t="shared" si="33"/>
        <v>0</v>
      </c>
      <c r="P130" s="478">
        <f t="shared" si="34"/>
        <v>0</v>
      </c>
    </row>
    <row r="131" spans="2:16">
      <c r="B131" s="160" t="str">
        <f t="shared" si="28"/>
        <v/>
      </c>
      <c r="C131" s="472">
        <f>IF(D93="","-",+C130+1)</f>
        <v>2045</v>
      </c>
      <c r="D131" s="346">
        <f>IF(F130+SUM(E$99:E130)=D$92,F130,D$92-SUM(E$99:E130))</f>
        <v>268938</v>
      </c>
      <c r="E131" s="484">
        <f t="shared" si="35"/>
        <v>24656</v>
      </c>
      <c r="F131" s="485">
        <f t="shared" si="36"/>
        <v>244282</v>
      </c>
      <c r="G131" s="485">
        <f t="shared" si="37"/>
        <v>256610</v>
      </c>
      <c r="H131" s="488">
        <f t="shared" si="38"/>
        <v>52321.443786598888</v>
      </c>
      <c r="I131" s="542">
        <f t="shared" si="39"/>
        <v>52321.443786598888</v>
      </c>
      <c r="J131" s="478">
        <f t="shared" si="29"/>
        <v>0</v>
      </c>
      <c r="K131" s="478"/>
      <c r="L131" s="487"/>
      <c r="M131" s="478">
        <f t="shared" ref="M131:M154" si="41">IF(L541&lt;&gt;0,+H541-L541,0)</f>
        <v>0</v>
      </c>
      <c r="N131" s="487"/>
      <c r="O131" s="478">
        <f t="shared" ref="O131:O154" si="42">IF(N541&lt;&gt;0,+I541-N541,0)</f>
        <v>0</v>
      </c>
      <c r="P131" s="478">
        <f t="shared" ref="P131:P154" si="43">+O541-M541</f>
        <v>0</v>
      </c>
    </row>
    <row r="132" spans="2:16">
      <c r="B132" s="160" t="str">
        <f t="shared" si="28"/>
        <v/>
      </c>
      <c r="C132" s="472">
        <f>IF(D93="","-",+C131+1)</f>
        <v>2046</v>
      </c>
      <c r="D132" s="346">
        <f>IF(F131+SUM(E$99:E131)=D$92,F131,D$92-SUM(E$99:E131))</f>
        <v>244282</v>
      </c>
      <c r="E132" s="484">
        <f t="shared" si="35"/>
        <v>24656</v>
      </c>
      <c r="F132" s="485">
        <f t="shared" si="36"/>
        <v>219626</v>
      </c>
      <c r="G132" s="485">
        <f t="shared" si="37"/>
        <v>231954</v>
      </c>
      <c r="H132" s="488">
        <f t="shared" si="38"/>
        <v>49663.249709975287</v>
      </c>
      <c r="I132" s="542">
        <f t="shared" si="39"/>
        <v>49663.249709975287</v>
      </c>
      <c r="J132" s="478">
        <f t="shared" si="29"/>
        <v>0</v>
      </c>
      <c r="K132" s="478"/>
      <c r="L132" s="487"/>
      <c r="M132" s="478">
        <f t="shared" si="41"/>
        <v>0</v>
      </c>
      <c r="N132" s="487"/>
      <c r="O132" s="478">
        <f t="shared" si="42"/>
        <v>0</v>
      </c>
      <c r="P132" s="478">
        <f t="shared" si="43"/>
        <v>0</v>
      </c>
    </row>
    <row r="133" spans="2:16">
      <c r="B133" s="160" t="str">
        <f t="shared" si="28"/>
        <v/>
      </c>
      <c r="C133" s="472">
        <f>IF(D93="","-",+C132+1)</f>
        <v>2047</v>
      </c>
      <c r="D133" s="346">
        <f>IF(F132+SUM(E$99:E132)=D$92,F132,D$92-SUM(E$99:E132))</f>
        <v>219626</v>
      </c>
      <c r="E133" s="484">
        <f t="shared" si="35"/>
        <v>24656</v>
      </c>
      <c r="F133" s="485">
        <f t="shared" si="36"/>
        <v>194970</v>
      </c>
      <c r="G133" s="485">
        <f t="shared" si="37"/>
        <v>207298</v>
      </c>
      <c r="H133" s="488">
        <f t="shared" si="38"/>
        <v>47005.055633351687</v>
      </c>
      <c r="I133" s="542">
        <f t="shared" si="39"/>
        <v>47005.055633351687</v>
      </c>
      <c r="J133" s="478">
        <f t="shared" si="29"/>
        <v>0</v>
      </c>
      <c r="K133" s="478"/>
      <c r="L133" s="487"/>
      <c r="M133" s="478">
        <f t="shared" si="41"/>
        <v>0</v>
      </c>
      <c r="N133" s="487"/>
      <c r="O133" s="478">
        <f t="shared" si="42"/>
        <v>0</v>
      </c>
      <c r="P133" s="478">
        <f t="shared" si="43"/>
        <v>0</v>
      </c>
    </row>
    <row r="134" spans="2:16">
      <c r="B134" s="160" t="str">
        <f t="shared" si="28"/>
        <v/>
      </c>
      <c r="C134" s="472">
        <f>IF(D93="","-",+C133+1)</f>
        <v>2048</v>
      </c>
      <c r="D134" s="346">
        <f>IF(F133+SUM(E$99:E133)=D$92,F133,D$92-SUM(E$99:E133))</f>
        <v>194970</v>
      </c>
      <c r="E134" s="484">
        <f t="shared" si="35"/>
        <v>24656</v>
      </c>
      <c r="F134" s="485">
        <f t="shared" si="36"/>
        <v>170314</v>
      </c>
      <c r="G134" s="485">
        <f t="shared" si="37"/>
        <v>182642</v>
      </c>
      <c r="H134" s="488">
        <f t="shared" si="38"/>
        <v>44346.861556728087</v>
      </c>
      <c r="I134" s="542">
        <f t="shared" si="39"/>
        <v>44346.861556728087</v>
      </c>
      <c r="J134" s="478">
        <f t="shared" si="29"/>
        <v>0</v>
      </c>
      <c r="K134" s="478"/>
      <c r="L134" s="487"/>
      <c r="M134" s="478">
        <f t="shared" si="41"/>
        <v>0</v>
      </c>
      <c r="N134" s="487"/>
      <c r="O134" s="478">
        <f t="shared" si="42"/>
        <v>0</v>
      </c>
      <c r="P134" s="478">
        <f t="shared" si="43"/>
        <v>0</v>
      </c>
    </row>
    <row r="135" spans="2:16">
      <c r="B135" s="160" t="str">
        <f t="shared" si="28"/>
        <v/>
      </c>
      <c r="C135" s="472">
        <f>IF(D93="","-",+C134+1)</f>
        <v>2049</v>
      </c>
      <c r="D135" s="346">
        <f>IF(F134+SUM(E$99:E134)=D$92,F134,D$92-SUM(E$99:E134))</f>
        <v>170314</v>
      </c>
      <c r="E135" s="484">
        <f t="shared" si="35"/>
        <v>24656</v>
      </c>
      <c r="F135" s="485">
        <f t="shared" si="36"/>
        <v>145658</v>
      </c>
      <c r="G135" s="485">
        <f t="shared" si="37"/>
        <v>157986</v>
      </c>
      <c r="H135" s="488">
        <f t="shared" si="38"/>
        <v>41688.667480104486</v>
      </c>
      <c r="I135" s="542">
        <f t="shared" si="39"/>
        <v>41688.667480104486</v>
      </c>
      <c r="J135" s="478">
        <f t="shared" si="29"/>
        <v>0</v>
      </c>
      <c r="K135" s="478"/>
      <c r="L135" s="487"/>
      <c r="M135" s="478">
        <f t="shared" si="41"/>
        <v>0</v>
      </c>
      <c r="N135" s="487"/>
      <c r="O135" s="478">
        <f t="shared" si="42"/>
        <v>0</v>
      </c>
      <c r="P135" s="478">
        <f t="shared" si="43"/>
        <v>0</v>
      </c>
    </row>
    <row r="136" spans="2:16">
      <c r="B136" s="160" t="str">
        <f t="shared" si="28"/>
        <v/>
      </c>
      <c r="C136" s="472">
        <f>IF(D93="","-",+C135+1)</f>
        <v>2050</v>
      </c>
      <c r="D136" s="346">
        <f>IF(F135+SUM(E$99:E135)=D$92,F135,D$92-SUM(E$99:E135))</f>
        <v>145658</v>
      </c>
      <c r="E136" s="484">
        <f t="shared" si="35"/>
        <v>24656</v>
      </c>
      <c r="F136" s="485">
        <f t="shared" si="36"/>
        <v>121002</v>
      </c>
      <c r="G136" s="485">
        <f t="shared" si="37"/>
        <v>133330</v>
      </c>
      <c r="H136" s="488">
        <f t="shared" si="38"/>
        <v>39030.473403480886</v>
      </c>
      <c r="I136" s="542">
        <f t="shared" si="39"/>
        <v>39030.473403480886</v>
      </c>
      <c r="J136" s="478">
        <f t="shared" si="29"/>
        <v>0</v>
      </c>
      <c r="K136" s="478"/>
      <c r="L136" s="487"/>
      <c r="M136" s="478">
        <f t="shared" si="41"/>
        <v>0</v>
      </c>
      <c r="N136" s="487"/>
      <c r="O136" s="478">
        <f t="shared" si="42"/>
        <v>0</v>
      </c>
      <c r="P136" s="478">
        <f t="shared" si="43"/>
        <v>0</v>
      </c>
    </row>
    <row r="137" spans="2:16">
      <c r="B137" s="160" t="str">
        <f t="shared" si="28"/>
        <v/>
      </c>
      <c r="C137" s="472">
        <f>IF(D93="","-",+C136+1)</f>
        <v>2051</v>
      </c>
      <c r="D137" s="346">
        <f>IF(F136+SUM(E$99:E136)=D$92,F136,D$92-SUM(E$99:E136))</f>
        <v>121002</v>
      </c>
      <c r="E137" s="484">
        <f t="shared" si="35"/>
        <v>24656</v>
      </c>
      <c r="F137" s="485">
        <f t="shared" si="36"/>
        <v>96346</v>
      </c>
      <c r="G137" s="485">
        <f t="shared" si="37"/>
        <v>108674</v>
      </c>
      <c r="H137" s="488">
        <f t="shared" si="38"/>
        <v>36372.279326857286</v>
      </c>
      <c r="I137" s="542">
        <f t="shared" si="39"/>
        <v>36372.279326857286</v>
      </c>
      <c r="J137" s="478">
        <f t="shared" si="29"/>
        <v>0</v>
      </c>
      <c r="K137" s="478"/>
      <c r="L137" s="487"/>
      <c r="M137" s="478">
        <f t="shared" si="41"/>
        <v>0</v>
      </c>
      <c r="N137" s="487"/>
      <c r="O137" s="478">
        <f t="shared" si="42"/>
        <v>0</v>
      </c>
      <c r="P137" s="478">
        <f t="shared" si="43"/>
        <v>0</v>
      </c>
    </row>
    <row r="138" spans="2:16">
      <c r="B138" s="160" t="str">
        <f t="shared" si="28"/>
        <v/>
      </c>
      <c r="C138" s="472">
        <f>IF(D93="","-",+C137+1)</f>
        <v>2052</v>
      </c>
      <c r="D138" s="346">
        <f>IF(F137+SUM(E$99:E137)=D$92,F137,D$92-SUM(E$99:E137))</f>
        <v>96346</v>
      </c>
      <c r="E138" s="484">
        <f t="shared" si="35"/>
        <v>24656</v>
      </c>
      <c r="F138" s="485">
        <f t="shared" si="36"/>
        <v>71690</v>
      </c>
      <c r="G138" s="485">
        <f t="shared" si="37"/>
        <v>84018</v>
      </c>
      <c r="H138" s="488">
        <f t="shared" si="38"/>
        <v>33714.085250233686</v>
      </c>
      <c r="I138" s="542">
        <f t="shared" si="39"/>
        <v>33714.085250233686</v>
      </c>
      <c r="J138" s="478">
        <f t="shared" si="29"/>
        <v>0</v>
      </c>
      <c r="K138" s="478"/>
      <c r="L138" s="487"/>
      <c r="M138" s="478">
        <f t="shared" si="41"/>
        <v>0</v>
      </c>
      <c r="N138" s="487"/>
      <c r="O138" s="478">
        <f t="shared" si="42"/>
        <v>0</v>
      </c>
      <c r="P138" s="478">
        <f t="shared" si="43"/>
        <v>0</v>
      </c>
    </row>
    <row r="139" spans="2:16">
      <c r="B139" s="160" t="str">
        <f t="shared" si="28"/>
        <v/>
      </c>
      <c r="C139" s="472">
        <f>IF(D93="","-",+C138+1)</f>
        <v>2053</v>
      </c>
      <c r="D139" s="346">
        <f>IF(F138+SUM(E$99:E138)=D$92,F138,D$92-SUM(E$99:E138))</f>
        <v>71690</v>
      </c>
      <c r="E139" s="484">
        <f t="shared" si="35"/>
        <v>24656</v>
      </c>
      <c r="F139" s="485">
        <f t="shared" si="36"/>
        <v>47034</v>
      </c>
      <c r="G139" s="485">
        <f t="shared" si="37"/>
        <v>59362</v>
      </c>
      <c r="H139" s="488">
        <f t="shared" si="38"/>
        <v>31055.891173610082</v>
      </c>
      <c r="I139" s="542">
        <f t="shared" si="39"/>
        <v>31055.891173610082</v>
      </c>
      <c r="J139" s="478">
        <f t="shared" si="29"/>
        <v>0</v>
      </c>
      <c r="K139" s="478"/>
      <c r="L139" s="487"/>
      <c r="M139" s="478">
        <f t="shared" si="41"/>
        <v>0</v>
      </c>
      <c r="N139" s="487"/>
      <c r="O139" s="478">
        <f t="shared" si="42"/>
        <v>0</v>
      </c>
      <c r="P139" s="478">
        <f t="shared" si="43"/>
        <v>0</v>
      </c>
    </row>
    <row r="140" spans="2:16">
      <c r="B140" s="160" t="str">
        <f t="shared" si="28"/>
        <v/>
      </c>
      <c r="C140" s="472">
        <f>IF(D93="","-",+C139+1)</f>
        <v>2054</v>
      </c>
      <c r="D140" s="346">
        <f>IF(F139+SUM(E$99:E139)=D$92,F139,D$92-SUM(E$99:E139))</f>
        <v>47034</v>
      </c>
      <c r="E140" s="484">
        <f t="shared" si="35"/>
        <v>24656</v>
      </c>
      <c r="F140" s="485">
        <f t="shared" si="36"/>
        <v>22378</v>
      </c>
      <c r="G140" s="485">
        <f t="shared" si="37"/>
        <v>34706</v>
      </c>
      <c r="H140" s="488">
        <f t="shared" si="38"/>
        <v>28397.697096986481</v>
      </c>
      <c r="I140" s="542">
        <f t="shared" si="39"/>
        <v>28397.697096986481</v>
      </c>
      <c r="J140" s="478">
        <f t="shared" si="29"/>
        <v>0</v>
      </c>
      <c r="K140" s="478"/>
      <c r="L140" s="487"/>
      <c r="M140" s="478">
        <f t="shared" si="41"/>
        <v>0</v>
      </c>
      <c r="N140" s="487"/>
      <c r="O140" s="478">
        <f t="shared" si="42"/>
        <v>0</v>
      </c>
      <c r="P140" s="478">
        <f t="shared" si="43"/>
        <v>0</v>
      </c>
    </row>
    <row r="141" spans="2:16">
      <c r="B141" s="160" t="str">
        <f t="shared" si="28"/>
        <v/>
      </c>
      <c r="C141" s="472">
        <f>IF(D93="","-",+C140+1)</f>
        <v>2055</v>
      </c>
      <c r="D141" s="346">
        <f>IF(F140+SUM(E$99:E140)=D$92,F140,D$92-SUM(E$99:E140))</f>
        <v>22378</v>
      </c>
      <c r="E141" s="484">
        <f t="shared" si="35"/>
        <v>22378</v>
      </c>
      <c r="F141" s="485">
        <f t="shared" si="36"/>
        <v>0</v>
      </c>
      <c r="G141" s="485">
        <f t="shared" si="37"/>
        <v>11189</v>
      </c>
      <c r="H141" s="488">
        <f t="shared" si="38"/>
        <v>23584.300029337341</v>
      </c>
      <c r="I141" s="542">
        <f t="shared" si="39"/>
        <v>23584.300029337341</v>
      </c>
      <c r="J141" s="478">
        <f t="shared" si="29"/>
        <v>0</v>
      </c>
      <c r="K141" s="478"/>
      <c r="L141" s="487"/>
      <c r="M141" s="478">
        <f t="shared" si="41"/>
        <v>0</v>
      </c>
      <c r="N141" s="487"/>
      <c r="O141" s="478">
        <f t="shared" si="42"/>
        <v>0</v>
      </c>
      <c r="P141" s="478">
        <f t="shared" si="43"/>
        <v>0</v>
      </c>
    </row>
    <row r="142" spans="2:16">
      <c r="B142" s="160" t="str">
        <f t="shared" si="28"/>
        <v/>
      </c>
      <c r="C142" s="472">
        <f>IF(D93="","-",+C141+1)</f>
        <v>2056</v>
      </c>
      <c r="D142" s="346">
        <f>IF(F141+SUM(E$99:E141)=D$92,F141,D$92-SUM(E$99:E141))</f>
        <v>0</v>
      </c>
      <c r="E142" s="484">
        <f t="shared" si="35"/>
        <v>0</v>
      </c>
      <c r="F142" s="485">
        <f t="shared" si="36"/>
        <v>0</v>
      </c>
      <c r="G142" s="485">
        <f t="shared" si="37"/>
        <v>0</v>
      </c>
      <c r="H142" s="488">
        <f t="shared" si="38"/>
        <v>0</v>
      </c>
      <c r="I142" s="542">
        <f t="shared" si="39"/>
        <v>0</v>
      </c>
      <c r="J142" s="478">
        <f t="shared" si="29"/>
        <v>0</v>
      </c>
      <c r="K142" s="478"/>
      <c r="L142" s="487"/>
      <c r="M142" s="478">
        <f t="shared" si="41"/>
        <v>0</v>
      </c>
      <c r="N142" s="487"/>
      <c r="O142" s="478">
        <f t="shared" si="42"/>
        <v>0</v>
      </c>
      <c r="P142" s="478">
        <f t="shared" si="43"/>
        <v>0</v>
      </c>
    </row>
    <row r="143" spans="2:16">
      <c r="B143" s="160" t="str">
        <f t="shared" si="28"/>
        <v/>
      </c>
      <c r="C143" s="472">
        <f>IF(D93="","-",+C142+1)</f>
        <v>2057</v>
      </c>
      <c r="D143" s="346">
        <f>IF(F142+SUM(E$99:E142)=D$92,F142,D$92-SUM(E$99:E142))</f>
        <v>0</v>
      </c>
      <c r="E143" s="484">
        <f t="shared" si="35"/>
        <v>0</v>
      </c>
      <c r="F143" s="485">
        <f t="shared" si="36"/>
        <v>0</v>
      </c>
      <c r="G143" s="485">
        <f t="shared" si="37"/>
        <v>0</v>
      </c>
      <c r="H143" s="488">
        <f t="shared" si="38"/>
        <v>0</v>
      </c>
      <c r="I143" s="542">
        <f t="shared" si="39"/>
        <v>0</v>
      </c>
      <c r="J143" s="478">
        <f t="shared" si="29"/>
        <v>0</v>
      </c>
      <c r="K143" s="478"/>
      <c r="L143" s="487"/>
      <c r="M143" s="478">
        <f t="shared" si="41"/>
        <v>0</v>
      </c>
      <c r="N143" s="487"/>
      <c r="O143" s="478">
        <f t="shared" si="42"/>
        <v>0</v>
      </c>
      <c r="P143" s="478">
        <f t="shared" si="43"/>
        <v>0</v>
      </c>
    </row>
    <row r="144" spans="2:16">
      <c r="B144" s="160" t="str">
        <f t="shared" si="28"/>
        <v/>
      </c>
      <c r="C144" s="472">
        <f>IF(D93="","-",+C143+1)</f>
        <v>2058</v>
      </c>
      <c r="D144" s="346">
        <f>IF(F143+SUM(E$99:E143)=D$92,F143,D$92-SUM(E$99:E143))</f>
        <v>0</v>
      </c>
      <c r="E144" s="484">
        <f t="shared" si="35"/>
        <v>0</v>
      </c>
      <c r="F144" s="485">
        <f t="shared" si="36"/>
        <v>0</v>
      </c>
      <c r="G144" s="485">
        <f t="shared" si="37"/>
        <v>0</v>
      </c>
      <c r="H144" s="488">
        <f t="shared" si="38"/>
        <v>0</v>
      </c>
      <c r="I144" s="542">
        <f t="shared" si="39"/>
        <v>0</v>
      </c>
      <c r="J144" s="478">
        <f t="shared" si="29"/>
        <v>0</v>
      </c>
      <c r="K144" s="478"/>
      <c r="L144" s="487"/>
      <c r="M144" s="478">
        <f t="shared" si="41"/>
        <v>0</v>
      </c>
      <c r="N144" s="487"/>
      <c r="O144" s="478">
        <f t="shared" si="42"/>
        <v>0</v>
      </c>
      <c r="P144" s="478">
        <f t="shared" si="43"/>
        <v>0</v>
      </c>
    </row>
    <row r="145" spans="2:16">
      <c r="B145" s="160" t="str">
        <f t="shared" si="28"/>
        <v/>
      </c>
      <c r="C145" s="472">
        <f>IF(D93="","-",+C144+1)</f>
        <v>2059</v>
      </c>
      <c r="D145" s="346">
        <f>IF(F144+SUM(E$99:E144)=D$92,F144,D$92-SUM(E$99:E144))</f>
        <v>0</v>
      </c>
      <c r="E145" s="484">
        <f t="shared" si="35"/>
        <v>0</v>
      </c>
      <c r="F145" s="485">
        <f t="shared" si="36"/>
        <v>0</v>
      </c>
      <c r="G145" s="485">
        <f t="shared" si="37"/>
        <v>0</v>
      </c>
      <c r="H145" s="488">
        <f t="shared" si="38"/>
        <v>0</v>
      </c>
      <c r="I145" s="542">
        <f t="shared" si="39"/>
        <v>0</v>
      </c>
      <c r="J145" s="478">
        <f t="shared" si="29"/>
        <v>0</v>
      </c>
      <c r="K145" s="478"/>
      <c r="L145" s="487"/>
      <c r="M145" s="478">
        <f t="shared" si="41"/>
        <v>0</v>
      </c>
      <c r="N145" s="487"/>
      <c r="O145" s="478">
        <f t="shared" si="42"/>
        <v>0</v>
      </c>
      <c r="P145" s="478">
        <f t="shared" si="43"/>
        <v>0</v>
      </c>
    </row>
    <row r="146" spans="2:16">
      <c r="B146" s="160" t="str">
        <f t="shared" si="28"/>
        <v/>
      </c>
      <c r="C146" s="472">
        <f>IF(D93="","-",+C145+1)</f>
        <v>2060</v>
      </c>
      <c r="D146" s="346">
        <f>IF(F145+SUM(E$99:E145)=D$92,F145,D$92-SUM(E$99:E145))</f>
        <v>0</v>
      </c>
      <c r="E146" s="484">
        <f t="shared" si="35"/>
        <v>0</v>
      </c>
      <c r="F146" s="485">
        <f t="shared" si="36"/>
        <v>0</v>
      </c>
      <c r="G146" s="485">
        <f t="shared" si="37"/>
        <v>0</v>
      </c>
      <c r="H146" s="488">
        <f t="shared" si="38"/>
        <v>0</v>
      </c>
      <c r="I146" s="542">
        <f t="shared" si="39"/>
        <v>0</v>
      </c>
      <c r="J146" s="478">
        <f t="shared" si="29"/>
        <v>0</v>
      </c>
      <c r="K146" s="478"/>
      <c r="L146" s="487"/>
      <c r="M146" s="478">
        <f t="shared" si="41"/>
        <v>0</v>
      </c>
      <c r="N146" s="487"/>
      <c r="O146" s="478">
        <f t="shared" si="42"/>
        <v>0</v>
      </c>
      <c r="P146" s="478">
        <f t="shared" si="43"/>
        <v>0</v>
      </c>
    </row>
    <row r="147" spans="2:16">
      <c r="B147" s="160" t="str">
        <f t="shared" si="28"/>
        <v/>
      </c>
      <c r="C147" s="472">
        <f>IF(D93="","-",+C146+1)</f>
        <v>2061</v>
      </c>
      <c r="D147" s="346">
        <f>IF(F146+SUM(E$99:E146)=D$92,F146,D$92-SUM(E$99:E146))</f>
        <v>0</v>
      </c>
      <c r="E147" s="484">
        <f t="shared" si="35"/>
        <v>0</v>
      </c>
      <c r="F147" s="485">
        <f t="shared" si="36"/>
        <v>0</v>
      </c>
      <c r="G147" s="485">
        <f t="shared" si="37"/>
        <v>0</v>
      </c>
      <c r="H147" s="488">
        <f t="shared" si="38"/>
        <v>0</v>
      </c>
      <c r="I147" s="542">
        <f t="shared" si="39"/>
        <v>0</v>
      </c>
      <c r="J147" s="478">
        <f t="shared" si="29"/>
        <v>0</v>
      </c>
      <c r="K147" s="478"/>
      <c r="L147" s="487"/>
      <c r="M147" s="478">
        <f t="shared" si="41"/>
        <v>0</v>
      </c>
      <c r="N147" s="487"/>
      <c r="O147" s="478">
        <f t="shared" si="42"/>
        <v>0</v>
      </c>
      <c r="P147" s="478">
        <f t="shared" si="43"/>
        <v>0</v>
      </c>
    </row>
    <row r="148" spans="2:16">
      <c r="B148" s="160" t="str">
        <f t="shared" si="28"/>
        <v/>
      </c>
      <c r="C148" s="472">
        <f>IF(D93="","-",+C147+1)</f>
        <v>2062</v>
      </c>
      <c r="D148" s="346">
        <f>IF(F147+SUM(E$99:E147)=D$92,F147,D$92-SUM(E$99:E147))</f>
        <v>0</v>
      </c>
      <c r="E148" s="484">
        <f t="shared" si="35"/>
        <v>0</v>
      </c>
      <c r="F148" s="485">
        <f t="shared" si="36"/>
        <v>0</v>
      </c>
      <c r="G148" s="485">
        <f t="shared" si="37"/>
        <v>0</v>
      </c>
      <c r="H148" s="488">
        <f t="shared" si="38"/>
        <v>0</v>
      </c>
      <c r="I148" s="542">
        <f t="shared" si="39"/>
        <v>0</v>
      </c>
      <c r="J148" s="478">
        <f t="shared" si="29"/>
        <v>0</v>
      </c>
      <c r="K148" s="478"/>
      <c r="L148" s="487"/>
      <c r="M148" s="478">
        <f t="shared" si="41"/>
        <v>0</v>
      </c>
      <c r="N148" s="487"/>
      <c r="O148" s="478">
        <f t="shared" si="42"/>
        <v>0</v>
      </c>
      <c r="P148" s="478">
        <f t="shared" si="43"/>
        <v>0</v>
      </c>
    </row>
    <row r="149" spans="2:16">
      <c r="B149" s="160" t="str">
        <f t="shared" si="28"/>
        <v/>
      </c>
      <c r="C149" s="472">
        <f>IF(D93="","-",+C148+1)</f>
        <v>2063</v>
      </c>
      <c r="D149" s="346">
        <f>IF(F148+SUM(E$99:E148)=D$92,F148,D$92-SUM(E$99:E148))</f>
        <v>0</v>
      </c>
      <c r="E149" s="484">
        <f t="shared" si="35"/>
        <v>0</v>
      </c>
      <c r="F149" s="485">
        <f t="shared" si="36"/>
        <v>0</v>
      </c>
      <c r="G149" s="485">
        <f t="shared" si="37"/>
        <v>0</v>
      </c>
      <c r="H149" s="488">
        <f t="shared" si="38"/>
        <v>0</v>
      </c>
      <c r="I149" s="542">
        <f t="shared" si="39"/>
        <v>0</v>
      </c>
      <c r="J149" s="478">
        <f t="shared" si="29"/>
        <v>0</v>
      </c>
      <c r="K149" s="478"/>
      <c r="L149" s="487"/>
      <c r="M149" s="478">
        <f t="shared" si="41"/>
        <v>0</v>
      </c>
      <c r="N149" s="487"/>
      <c r="O149" s="478">
        <f t="shared" si="42"/>
        <v>0</v>
      </c>
      <c r="P149" s="478">
        <f t="shared" si="43"/>
        <v>0</v>
      </c>
    </row>
    <row r="150" spans="2:16">
      <c r="B150" s="160" t="str">
        <f t="shared" si="28"/>
        <v/>
      </c>
      <c r="C150" s="472">
        <f>IF(D93="","-",+C149+1)</f>
        <v>2064</v>
      </c>
      <c r="D150" s="346">
        <f>IF(F149+SUM(E$99:E149)=D$92,F149,D$92-SUM(E$99:E149))</f>
        <v>0</v>
      </c>
      <c r="E150" s="484">
        <f t="shared" si="35"/>
        <v>0</v>
      </c>
      <c r="F150" s="485">
        <f t="shared" si="36"/>
        <v>0</v>
      </c>
      <c r="G150" s="485">
        <f t="shared" si="37"/>
        <v>0</v>
      </c>
      <c r="H150" s="488">
        <f t="shared" si="38"/>
        <v>0</v>
      </c>
      <c r="I150" s="542">
        <f t="shared" si="39"/>
        <v>0</v>
      </c>
      <c r="J150" s="478">
        <f t="shared" si="29"/>
        <v>0</v>
      </c>
      <c r="K150" s="478"/>
      <c r="L150" s="487"/>
      <c r="M150" s="478">
        <f t="shared" si="41"/>
        <v>0</v>
      </c>
      <c r="N150" s="487"/>
      <c r="O150" s="478">
        <f t="shared" si="42"/>
        <v>0</v>
      </c>
      <c r="P150" s="478">
        <f t="shared" si="43"/>
        <v>0</v>
      </c>
    </row>
    <row r="151" spans="2:16">
      <c r="B151" s="160" t="str">
        <f t="shared" si="28"/>
        <v/>
      </c>
      <c r="C151" s="472">
        <f>IF(D93="","-",+C150+1)</f>
        <v>2065</v>
      </c>
      <c r="D151" s="346">
        <f>IF(F150+SUM(E$99:E150)=D$92,F150,D$92-SUM(E$99:E150))</f>
        <v>0</v>
      </c>
      <c r="E151" s="484">
        <f t="shared" si="35"/>
        <v>0</v>
      </c>
      <c r="F151" s="485">
        <f t="shared" si="36"/>
        <v>0</v>
      </c>
      <c r="G151" s="485">
        <f t="shared" si="37"/>
        <v>0</v>
      </c>
      <c r="H151" s="488">
        <f t="shared" si="38"/>
        <v>0</v>
      </c>
      <c r="I151" s="542">
        <f t="shared" si="39"/>
        <v>0</v>
      </c>
      <c r="J151" s="478">
        <f t="shared" si="29"/>
        <v>0</v>
      </c>
      <c r="K151" s="478"/>
      <c r="L151" s="487"/>
      <c r="M151" s="478">
        <f t="shared" si="41"/>
        <v>0</v>
      </c>
      <c r="N151" s="487"/>
      <c r="O151" s="478">
        <f t="shared" si="42"/>
        <v>0</v>
      </c>
      <c r="P151" s="478">
        <f t="shared" si="43"/>
        <v>0</v>
      </c>
    </row>
    <row r="152" spans="2:16">
      <c r="B152" s="160" t="str">
        <f t="shared" si="28"/>
        <v/>
      </c>
      <c r="C152" s="472">
        <f>IF(D93="","-",+C151+1)</f>
        <v>2066</v>
      </c>
      <c r="D152" s="346">
        <f>IF(F151+SUM(E$99:E151)=D$92,F151,D$92-SUM(E$99:E151))</f>
        <v>0</v>
      </c>
      <c r="E152" s="484">
        <f t="shared" si="35"/>
        <v>0</v>
      </c>
      <c r="F152" s="485">
        <f t="shared" si="36"/>
        <v>0</v>
      </c>
      <c r="G152" s="485">
        <f t="shared" si="37"/>
        <v>0</v>
      </c>
      <c r="H152" s="488">
        <f t="shared" si="38"/>
        <v>0</v>
      </c>
      <c r="I152" s="542">
        <f t="shared" si="39"/>
        <v>0</v>
      </c>
      <c r="J152" s="478">
        <f t="shared" si="29"/>
        <v>0</v>
      </c>
      <c r="K152" s="478"/>
      <c r="L152" s="487"/>
      <c r="M152" s="478">
        <f t="shared" si="41"/>
        <v>0</v>
      </c>
      <c r="N152" s="487"/>
      <c r="O152" s="478">
        <f t="shared" si="42"/>
        <v>0</v>
      </c>
      <c r="P152" s="478">
        <f t="shared" si="43"/>
        <v>0</v>
      </c>
    </row>
    <row r="153" spans="2:16">
      <c r="B153" s="160" t="str">
        <f t="shared" si="28"/>
        <v/>
      </c>
      <c r="C153" s="472">
        <f>IF(D93="","-",+C152+1)</f>
        <v>2067</v>
      </c>
      <c r="D153" s="346">
        <f>IF(F152+SUM(E$99:E152)=D$92,F152,D$92-SUM(E$99:E152))</f>
        <v>0</v>
      </c>
      <c r="E153" s="484">
        <f t="shared" si="35"/>
        <v>0</v>
      </c>
      <c r="F153" s="485">
        <f t="shared" si="36"/>
        <v>0</v>
      </c>
      <c r="G153" s="485">
        <f t="shared" si="37"/>
        <v>0</v>
      </c>
      <c r="H153" s="488">
        <f t="shared" si="38"/>
        <v>0</v>
      </c>
      <c r="I153" s="542">
        <f t="shared" si="39"/>
        <v>0</v>
      </c>
      <c r="J153" s="478">
        <f t="shared" si="29"/>
        <v>0</v>
      </c>
      <c r="K153" s="478"/>
      <c r="L153" s="487"/>
      <c r="M153" s="478">
        <f t="shared" si="41"/>
        <v>0</v>
      </c>
      <c r="N153" s="487"/>
      <c r="O153" s="478">
        <f t="shared" si="42"/>
        <v>0</v>
      </c>
      <c r="P153" s="478">
        <f t="shared" si="43"/>
        <v>0</v>
      </c>
    </row>
    <row r="154" spans="2:16" ht="13.5" thickBot="1">
      <c r="B154" s="160" t="str">
        <f t="shared" si="28"/>
        <v/>
      </c>
      <c r="C154" s="489">
        <f>IF(D93="","-",+C153+1)</f>
        <v>2068</v>
      </c>
      <c r="D154" s="346">
        <f>IF(F153+SUM(E$99:E153)=D$92,F153,D$92-SUM(E$99:E153))</f>
        <v>0</v>
      </c>
      <c r="E154" s="484">
        <f t="shared" si="35"/>
        <v>0</v>
      </c>
      <c r="F154" s="485">
        <f t="shared" si="36"/>
        <v>0</v>
      </c>
      <c r="G154" s="485">
        <f t="shared" si="37"/>
        <v>0</v>
      </c>
      <c r="H154" s="488">
        <f t="shared" si="38"/>
        <v>0</v>
      </c>
      <c r="I154" s="542">
        <f t="shared" si="39"/>
        <v>0</v>
      </c>
      <c r="J154" s="478">
        <f t="shared" si="29"/>
        <v>0</v>
      </c>
      <c r="K154" s="478"/>
      <c r="L154" s="494"/>
      <c r="M154" s="495">
        <f t="shared" si="41"/>
        <v>0</v>
      </c>
      <c r="N154" s="494"/>
      <c r="O154" s="495">
        <f t="shared" si="42"/>
        <v>0</v>
      </c>
      <c r="P154" s="495">
        <f t="shared" si="43"/>
        <v>0</v>
      </c>
    </row>
    <row r="155" spans="2:16">
      <c r="C155" s="346" t="s">
        <v>77</v>
      </c>
      <c r="D155" s="347"/>
      <c r="E155" s="347">
        <f>SUM(E99:E154)</f>
        <v>1035552</v>
      </c>
      <c r="F155" s="347"/>
      <c r="G155" s="347"/>
      <c r="H155" s="347">
        <f>SUM(H99:H154)</f>
        <v>3537932.4028393249</v>
      </c>
      <c r="I155" s="347">
        <f>SUM(I99:I154)</f>
        <v>3537932.4028393249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7" priority="1" stopIfTrue="1" operator="equal">
      <formula>$I$10</formula>
    </cfRule>
  </conditionalFormatting>
  <conditionalFormatting sqref="C99:C154">
    <cfRule type="cellIs" dxfId="3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P162"/>
  <sheetViews>
    <sheetView view="pageBreakPreview" topLeftCell="A10" zoomScale="80" zoomScaleNormal="100" zoomScaleSheetLayoutView="80" workbookViewId="0">
      <selection activeCell="E19" sqref="E19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15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248552.15642857144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248552.15642857144</v>
      </c>
      <c r="O6" s="232"/>
      <c r="P6" s="232"/>
    </row>
    <row r="7" spans="1:16" ht="13.5" thickBot="1">
      <c r="C7" s="431" t="s">
        <v>46</v>
      </c>
      <c r="D7" s="599" t="s">
        <v>253</v>
      </c>
      <c r="E7" s="600"/>
      <c r="F7" s="600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572" t="s">
        <v>252</v>
      </c>
      <c r="E9" s="577" t="s">
        <v>261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2246628.5699999998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53491.156428571427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2014</v>
      </c>
      <c r="D17" s="584">
        <v>2295000</v>
      </c>
      <c r="E17" s="608">
        <v>36778.846153846156</v>
      </c>
      <c r="F17" s="584">
        <v>2258221.153846154</v>
      </c>
      <c r="G17" s="608">
        <v>347642.78736560291</v>
      </c>
      <c r="H17" s="587">
        <v>347642.78736560291</v>
      </c>
      <c r="I17" s="475">
        <v>0</v>
      </c>
      <c r="J17" s="475"/>
      <c r="K17" s="476">
        <f t="shared" ref="K17:K22" si="0">G17</f>
        <v>347642.78736560291</v>
      </c>
      <c r="L17" s="603">
        <f t="shared" ref="L17:L22" si="1">IF(K17&lt;&gt;0,+G17-K17,0)</f>
        <v>0</v>
      </c>
      <c r="M17" s="476">
        <f t="shared" ref="M17:M22" si="2">H17</f>
        <v>347642.78736560291</v>
      </c>
      <c r="N17" s="478">
        <f>IF(M17&lt;&gt;0,+H17-M17,0)</f>
        <v>0</v>
      </c>
      <c r="O17" s="475">
        <f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2015</v>
      </c>
      <c r="D18" s="584">
        <v>2258221.153846154</v>
      </c>
      <c r="E18" s="585">
        <v>43204.395576923074</v>
      </c>
      <c r="F18" s="584">
        <v>2215016.7582692308</v>
      </c>
      <c r="G18" s="585">
        <v>348592.42580485216</v>
      </c>
      <c r="H18" s="587">
        <v>348592.42580485216</v>
      </c>
      <c r="I18" s="475">
        <v>0</v>
      </c>
      <c r="J18" s="475"/>
      <c r="K18" s="476">
        <f t="shared" si="0"/>
        <v>348592.42580485216</v>
      </c>
      <c r="L18" s="603">
        <f t="shared" si="1"/>
        <v>0</v>
      </c>
      <c r="M18" s="476">
        <f t="shared" si="2"/>
        <v>348592.42580485216</v>
      </c>
      <c r="N18" s="478">
        <f>IF(M18&lt;&gt;0,+H18-M18,0)</f>
        <v>0</v>
      </c>
      <c r="O18" s="475">
        <f>+N18-L18</f>
        <v>0</v>
      </c>
      <c r="P18" s="242"/>
    </row>
    <row r="19" spans="2:16">
      <c r="B19" s="160" t="str">
        <f>IF(D19=F18,"","IU")</f>
        <v>IU</v>
      </c>
      <c r="C19" s="472">
        <f>IF(D11="","-",+C18+1)</f>
        <v>2016</v>
      </c>
      <c r="D19" s="584">
        <v>2166645.3282692307</v>
      </c>
      <c r="E19" s="585">
        <v>43204.395576923074</v>
      </c>
      <c r="F19" s="584">
        <v>2123440.9326923075</v>
      </c>
      <c r="G19" s="585">
        <v>321714.3955769231</v>
      </c>
      <c r="H19" s="587">
        <v>321714.3955769231</v>
      </c>
      <c r="I19" s="475">
        <f>H19-G19</f>
        <v>0</v>
      </c>
      <c r="J19" s="475"/>
      <c r="K19" s="476">
        <f t="shared" si="0"/>
        <v>321714.3955769231</v>
      </c>
      <c r="L19" s="603">
        <f t="shared" si="1"/>
        <v>0</v>
      </c>
      <c r="M19" s="476">
        <f t="shared" si="2"/>
        <v>321714.3955769231</v>
      </c>
      <c r="N19" s="478">
        <f>IF(M19&lt;&gt;0,+H19-M19,0)</f>
        <v>0</v>
      </c>
      <c r="O19" s="475">
        <f>+N19-L19</f>
        <v>0</v>
      </c>
      <c r="P19" s="242"/>
    </row>
    <row r="20" spans="2:16">
      <c r="B20" s="160" t="str">
        <f t="shared" ref="B20:B72" si="3">IF(D20=F19,"","IU")</f>
        <v/>
      </c>
      <c r="C20" s="472">
        <f>IF(D11="","-",+C19+1)</f>
        <v>2017</v>
      </c>
      <c r="D20" s="584">
        <v>2123440.9326923075</v>
      </c>
      <c r="E20" s="585">
        <v>48839.751521739126</v>
      </c>
      <c r="F20" s="584">
        <v>2074601.1811705683</v>
      </c>
      <c r="G20" s="585">
        <v>312854.75152173912</v>
      </c>
      <c r="H20" s="587">
        <v>312854.75152173912</v>
      </c>
      <c r="I20" s="475">
        <f t="shared" ref="I20:I72" si="4">H20-G20</f>
        <v>0</v>
      </c>
      <c r="J20" s="475"/>
      <c r="K20" s="476">
        <f t="shared" si="0"/>
        <v>312854.75152173912</v>
      </c>
      <c r="L20" s="603">
        <f t="shared" si="1"/>
        <v>0</v>
      </c>
      <c r="M20" s="476">
        <f t="shared" si="2"/>
        <v>312854.75152173912</v>
      </c>
      <c r="N20" s="478">
        <f>IF(M20&lt;&gt;0,+H20-M20,0)</f>
        <v>0</v>
      </c>
      <c r="O20" s="475">
        <f>+N20-L20</f>
        <v>0</v>
      </c>
      <c r="P20" s="242"/>
    </row>
    <row r="21" spans="2:16">
      <c r="B21" s="160" t="str">
        <f t="shared" si="3"/>
        <v/>
      </c>
      <c r="C21" s="472">
        <f>IF(D11="","-",+C20+1)</f>
        <v>2018</v>
      </c>
      <c r="D21" s="584">
        <v>2074601.1811705683</v>
      </c>
      <c r="E21" s="585">
        <v>49925.079333333328</v>
      </c>
      <c r="F21" s="584">
        <v>2024676.101837235</v>
      </c>
      <c r="G21" s="585">
        <v>295387.63187355472</v>
      </c>
      <c r="H21" s="587">
        <v>295387.63187355472</v>
      </c>
      <c r="I21" s="475">
        <f t="shared" si="4"/>
        <v>0</v>
      </c>
      <c r="J21" s="475"/>
      <c r="K21" s="476">
        <f t="shared" si="0"/>
        <v>295387.63187355472</v>
      </c>
      <c r="L21" s="603">
        <f t="shared" si="1"/>
        <v>0</v>
      </c>
      <c r="M21" s="476">
        <f t="shared" si="2"/>
        <v>295387.63187355472</v>
      </c>
      <c r="N21" s="478">
        <f>IF(M21&lt;&gt;0,+H21-M21,0)</f>
        <v>0</v>
      </c>
      <c r="O21" s="475">
        <f>+N21-L21</f>
        <v>0</v>
      </c>
      <c r="P21" s="242"/>
    </row>
    <row r="22" spans="2:16">
      <c r="B22" s="160" t="str">
        <f t="shared" si="3"/>
        <v/>
      </c>
      <c r="C22" s="472">
        <f>IF(D11="","-",+C21+1)</f>
        <v>2019</v>
      </c>
      <c r="D22" s="584">
        <v>2024676.101837235</v>
      </c>
      <c r="E22" s="585">
        <v>56165.714249999997</v>
      </c>
      <c r="F22" s="584">
        <v>1968510.3875872351</v>
      </c>
      <c r="G22" s="585">
        <v>279098.59002601594</v>
      </c>
      <c r="H22" s="587">
        <v>279098.59002601594</v>
      </c>
      <c r="I22" s="475">
        <f t="shared" si="4"/>
        <v>0</v>
      </c>
      <c r="J22" s="475"/>
      <c r="K22" s="476">
        <f t="shared" si="0"/>
        <v>279098.59002601594</v>
      </c>
      <c r="L22" s="603">
        <f t="shared" si="1"/>
        <v>0</v>
      </c>
      <c r="M22" s="476">
        <f t="shared" si="2"/>
        <v>279098.59002601594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>
      <c r="B23" s="160" t="str">
        <f t="shared" si="3"/>
        <v>IU</v>
      </c>
      <c r="C23" s="472">
        <f>IF(D11="","-",+C22+1)</f>
        <v>2020</v>
      </c>
      <c r="D23" s="584">
        <v>1974751.0225039017</v>
      </c>
      <c r="E23" s="585">
        <v>53491.156428571427</v>
      </c>
      <c r="F23" s="584">
        <v>1921259.8660753304</v>
      </c>
      <c r="G23" s="585">
        <v>263885.04985844565</v>
      </c>
      <c r="H23" s="587">
        <v>263885.04985844565</v>
      </c>
      <c r="I23" s="475">
        <f t="shared" si="4"/>
        <v>0</v>
      </c>
      <c r="J23" s="475"/>
      <c r="K23" s="476">
        <f t="shared" ref="K23" si="7">G23</f>
        <v>263885.04985844565</v>
      </c>
      <c r="L23" s="603">
        <f t="shared" ref="L23" si="8">IF(K23&lt;&gt;0,+G23-K23,0)</f>
        <v>0</v>
      </c>
      <c r="M23" s="476">
        <f t="shared" ref="M23" si="9">H23</f>
        <v>263885.04985844565</v>
      </c>
      <c r="N23" s="478">
        <f t="shared" si="5"/>
        <v>0</v>
      </c>
      <c r="O23" s="478">
        <f t="shared" si="6"/>
        <v>0</v>
      </c>
      <c r="P23" s="242"/>
    </row>
    <row r="24" spans="2:16">
      <c r="B24" s="160" t="str">
        <f t="shared" si="3"/>
        <v>IU</v>
      </c>
      <c r="C24" s="472">
        <f>IF(D11="","-",+C23+1)</f>
        <v>2021</v>
      </c>
      <c r="D24" s="584">
        <v>1915019.2311586635</v>
      </c>
      <c r="E24" s="585">
        <v>52247.176046511624</v>
      </c>
      <c r="F24" s="584">
        <v>1862772.0551121519</v>
      </c>
      <c r="G24" s="585">
        <v>253094.17604651162</v>
      </c>
      <c r="H24" s="587">
        <v>253094.17604651162</v>
      </c>
      <c r="I24" s="475">
        <f t="shared" si="4"/>
        <v>0</v>
      </c>
      <c r="J24" s="475"/>
      <c r="K24" s="476">
        <f t="shared" ref="K24" si="10">G24</f>
        <v>253094.17604651162</v>
      </c>
      <c r="L24" s="603">
        <f t="shared" ref="L24" si="11">IF(K24&lt;&gt;0,+G24-K24,0)</f>
        <v>0</v>
      </c>
      <c r="M24" s="476">
        <f t="shared" ref="M24" si="12">H24</f>
        <v>253094.17604651162</v>
      </c>
      <c r="N24" s="478">
        <f t="shared" si="5"/>
        <v>0</v>
      </c>
      <c r="O24" s="478">
        <f t="shared" si="6"/>
        <v>0</v>
      </c>
      <c r="P24" s="242"/>
    </row>
    <row r="25" spans="2:16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1862772.0551121519</v>
      </c>
      <c r="E25" s="484">
        <f t="shared" ref="E25:E72" si="13">IF(+$I$14&lt;F24,$I$14,D25)</f>
        <v>53491.156428571427</v>
      </c>
      <c r="F25" s="485">
        <f t="shared" ref="F25:F72" si="14">+D25-E25</f>
        <v>1809280.8986835806</v>
      </c>
      <c r="G25" s="486">
        <f t="shared" ref="G25:G72" si="15">ROUND(I$12*F25,0)+E25</f>
        <v>248552.15642857144</v>
      </c>
      <c r="H25" s="455">
        <f t="shared" ref="H25:H72" si="16">ROUND(I$13*F25,0)+E25</f>
        <v>248552.15642857144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1809280.8986835806</v>
      </c>
      <c r="E26" s="484">
        <f t="shared" si="13"/>
        <v>53491.156428571427</v>
      </c>
      <c r="F26" s="485">
        <f t="shared" si="14"/>
        <v>1755789.7422550092</v>
      </c>
      <c r="G26" s="486">
        <f t="shared" si="15"/>
        <v>242785.15642857144</v>
      </c>
      <c r="H26" s="455">
        <f t="shared" si="16"/>
        <v>242785.15642857144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1755789.7422550092</v>
      </c>
      <c r="E27" s="484">
        <f t="shared" si="13"/>
        <v>53491.156428571427</v>
      </c>
      <c r="F27" s="485">
        <f t="shared" si="14"/>
        <v>1702298.5858264379</v>
      </c>
      <c r="G27" s="486">
        <f t="shared" si="15"/>
        <v>237018.15642857144</v>
      </c>
      <c r="H27" s="455">
        <f t="shared" si="16"/>
        <v>237018.15642857144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1702298.5858264379</v>
      </c>
      <c r="E28" s="484">
        <f t="shared" si="13"/>
        <v>53491.156428571427</v>
      </c>
      <c r="F28" s="485">
        <f t="shared" si="14"/>
        <v>1648807.4293978666</v>
      </c>
      <c r="G28" s="486">
        <f t="shared" si="15"/>
        <v>231251.15642857144</v>
      </c>
      <c r="H28" s="455">
        <f t="shared" si="16"/>
        <v>231251.15642857144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1648807.4293978666</v>
      </c>
      <c r="E29" s="484">
        <f t="shared" si="13"/>
        <v>53491.156428571427</v>
      </c>
      <c r="F29" s="485">
        <f t="shared" si="14"/>
        <v>1595316.2729692953</v>
      </c>
      <c r="G29" s="486">
        <f t="shared" si="15"/>
        <v>225484.15642857144</v>
      </c>
      <c r="H29" s="455">
        <f t="shared" si="16"/>
        <v>225484.15642857144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1595316.2729692953</v>
      </c>
      <c r="E30" s="484">
        <f t="shared" si="13"/>
        <v>53491.156428571427</v>
      </c>
      <c r="F30" s="485">
        <f t="shared" si="14"/>
        <v>1541825.1165407239</v>
      </c>
      <c r="G30" s="486">
        <f t="shared" si="15"/>
        <v>219717.15642857144</v>
      </c>
      <c r="H30" s="455">
        <f t="shared" si="16"/>
        <v>219717.15642857144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1541825.1165407239</v>
      </c>
      <c r="E31" s="484">
        <f t="shared" si="13"/>
        <v>53491.156428571427</v>
      </c>
      <c r="F31" s="485">
        <f t="shared" si="14"/>
        <v>1488333.9601121526</v>
      </c>
      <c r="G31" s="486">
        <f t="shared" si="15"/>
        <v>213950.15642857144</v>
      </c>
      <c r="H31" s="455">
        <f t="shared" si="16"/>
        <v>213950.15642857144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1488333.9601121526</v>
      </c>
      <c r="E32" s="484">
        <f t="shared" si="13"/>
        <v>53491.156428571427</v>
      </c>
      <c r="F32" s="485">
        <f t="shared" si="14"/>
        <v>1434842.8036835813</v>
      </c>
      <c r="G32" s="486">
        <f t="shared" si="15"/>
        <v>208183.15642857144</v>
      </c>
      <c r="H32" s="455">
        <f t="shared" si="16"/>
        <v>208183.15642857144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1434842.8036835813</v>
      </c>
      <c r="E33" s="484">
        <f t="shared" si="13"/>
        <v>53491.156428571427</v>
      </c>
      <c r="F33" s="485">
        <f t="shared" si="14"/>
        <v>1381351.64725501</v>
      </c>
      <c r="G33" s="486">
        <f t="shared" si="15"/>
        <v>202416.15642857144</v>
      </c>
      <c r="H33" s="455">
        <f t="shared" si="16"/>
        <v>202416.15642857144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1381351.64725501</v>
      </c>
      <c r="E34" s="484">
        <f t="shared" si="13"/>
        <v>53491.156428571427</v>
      </c>
      <c r="F34" s="485">
        <f t="shared" si="14"/>
        <v>1327860.4908264386</v>
      </c>
      <c r="G34" s="486">
        <f t="shared" si="15"/>
        <v>196649.15642857144</v>
      </c>
      <c r="H34" s="455">
        <f t="shared" si="16"/>
        <v>196649.15642857144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1327860.4908264386</v>
      </c>
      <c r="E35" s="484">
        <f t="shared" si="13"/>
        <v>53491.156428571427</v>
      </c>
      <c r="F35" s="485">
        <f t="shared" si="14"/>
        <v>1274369.3343978673</v>
      </c>
      <c r="G35" s="486">
        <f t="shared" si="15"/>
        <v>190882.15642857144</v>
      </c>
      <c r="H35" s="455">
        <f t="shared" si="16"/>
        <v>190882.15642857144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1274369.3343978673</v>
      </c>
      <c r="E36" s="484">
        <f t="shared" si="13"/>
        <v>53491.156428571427</v>
      </c>
      <c r="F36" s="485">
        <f t="shared" si="14"/>
        <v>1220878.177969296</v>
      </c>
      <c r="G36" s="486">
        <f t="shared" si="15"/>
        <v>185115.15642857144</v>
      </c>
      <c r="H36" s="455">
        <f t="shared" si="16"/>
        <v>185115.15642857144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1220878.177969296</v>
      </c>
      <c r="E37" s="484">
        <f t="shared" si="13"/>
        <v>53491.156428571427</v>
      </c>
      <c r="F37" s="485">
        <f t="shared" si="14"/>
        <v>1167387.0215407247</v>
      </c>
      <c r="G37" s="486">
        <f t="shared" si="15"/>
        <v>179348.15642857144</v>
      </c>
      <c r="H37" s="455">
        <f t="shared" si="16"/>
        <v>179348.15642857144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1167387.0215407247</v>
      </c>
      <c r="E38" s="484">
        <f t="shared" si="13"/>
        <v>53491.156428571427</v>
      </c>
      <c r="F38" s="485">
        <f t="shared" si="14"/>
        <v>1113895.8651121533</v>
      </c>
      <c r="G38" s="486">
        <f t="shared" si="15"/>
        <v>173582.15642857144</v>
      </c>
      <c r="H38" s="455">
        <f t="shared" si="16"/>
        <v>173582.15642857144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1113895.8651121533</v>
      </c>
      <c r="E39" s="484">
        <f t="shared" si="13"/>
        <v>53491.156428571427</v>
      </c>
      <c r="F39" s="485">
        <f t="shared" si="14"/>
        <v>1060404.708683582</v>
      </c>
      <c r="G39" s="486">
        <f t="shared" si="15"/>
        <v>167815.15642857144</v>
      </c>
      <c r="H39" s="455">
        <f t="shared" si="16"/>
        <v>167815.15642857144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1060404.708683582</v>
      </c>
      <c r="E40" s="484">
        <f t="shared" si="13"/>
        <v>53491.156428571427</v>
      </c>
      <c r="F40" s="485">
        <f t="shared" si="14"/>
        <v>1006913.5522550106</v>
      </c>
      <c r="G40" s="486">
        <f t="shared" si="15"/>
        <v>162048.15642857144</v>
      </c>
      <c r="H40" s="455">
        <f t="shared" si="16"/>
        <v>162048.15642857144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1006913.5522550106</v>
      </c>
      <c r="E41" s="484">
        <f t="shared" si="13"/>
        <v>53491.156428571427</v>
      </c>
      <c r="F41" s="485">
        <f t="shared" si="14"/>
        <v>953422.39582643914</v>
      </c>
      <c r="G41" s="486">
        <f t="shared" si="15"/>
        <v>156281.15642857144</v>
      </c>
      <c r="H41" s="455">
        <f t="shared" si="16"/>
        <v>156281.15642857144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953422.39582643914</v>
      </c>
      <c r="E42" s="484">
        <f t="shared" si="13"/>
        <v>53491.156428571427</v>
      </c>
      <c r="F42" s="485">
        <f t="shared" si="14"/>
        <v>899931.2393978677</v>
      </c>
      <c r="G42" s="486">
        <f t="shared" si="15"/>
        <v>150514.15642857144</v>
      </c>
      <c r="H42" s="455">
        <f t="shared" si="16"/>
        <v>150514.15642857144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899931.2393978677</v>
      </c>
      <c r="E43" s="484">
        <f t="shared" si="13"/>
        <v>53491.156428571427</v>
      </c>
      <c r="F43" s="485">
        <f t="shared" si="14"/>
        <v>846440.08296929626</v>
      </c>
      <c r="G43" s="486">
        <f t="shared" si="15"/>
        <v>144747.15642857144</v>
      </c>
      <c r="H43" s="455">
        <f t="shared" si="16"/>
        <v>144747.15642857144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846440.08296929626</v>
      </c>
      <c r="E44" s="484">
        <f t="shared" si="13"/>
        <v>53491.156428571427</v>
      </c>
      <c r="F44" s="485">
        <f t="shared" si="14"/>
        <v>792948.92654072482</v>
      </c>
      <c r="G44" s="486">
        <f t="shared" si="15"/>
        <v>138980.15642857144</v>
      </c>
      <c r="H44" s="455">
        <f t="shared" si="16"/>
        <v>138980.15642857144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792948.92654072482</v>
      </c>
      <c r="E45" s="484">
        <f t="shared" si="13"/>
        <v>53491.156428571427</v>
      </c>
      <c r="F45" s="485">
        <f t="shared" si="14"/>
        <v>739457.77011215338</v>
      </c>
      <c r="G45" s="486">
        <f t="shared" si="15"/>
        <v>133213.15642857144</v>
      </c>
      <c r="H45" s="455">
        <f t="shared" si="16"/>
        <v>133213.15642857144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739457.77011215338</v>
      </c>
      <c r="E46" s="484">
        <f t="shared" si="13"/>
        <v>53491.156428571427</v>
      </c>
      <c r="F46" s="485">
        <f t="shared" si="14"/>
        <v>685966.61368358193</v>
      </c>
      <c r="G46" s="486">
        <f t="shared" si="15"/>
        <v>127446.15642857143</v>
      </c>
      <c r="H46" s="455">
        <f t="shared" si="16"/>
        <v>127446.15642857143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685966.61368358193</v>
      </c>
      <c r="E47" s="484">
        <f t="shared" si="13"/>
        <v>53491.156428571427</v>
      </c>
      <c r="F47" s="485">
        <f t="shared" si="14"/>
        <v>632475.45725501049</v>
      </c>
      <c r="G47" s="486">
        <f t="shared" si="15"/>
        <v>121679.15642857143</v>
      </c>
      <c r="H47" s="455">
        <f t="shared" si="16"/>
        <v>121679.15642857143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632475.45725501049</v>
      </c>
      <c r="E48" s="484">
        <f t="shared" si="13"/>
        <v>53491.156428571427</v>
      </c>
      <c r="F48" s="485">
        <f t="shared" si="14"/>
        <v>578984.30082643905</v>
      </c>
      <c r="G48" s="486">
        <f t="shared" si="15"/>
        <v>115912.15642857143</v>
      </c>
      <c r="H48" s="455">
        <f t="shared" si="16"/>
        <v>115912.15642857143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578984.30082643905</v>
      </c>
      <c r="E49" s="484">
        <f t="shared" si="13"/>
        <v>53491.156428571427</v>
      </c>
      <c r="F49" s="485">
        <f t="shared" si="14"/>
        <v>525493.14439786761</v>
      </c>
      <c r="G49" s="486">
        <f t="shared" si="15"/>
        <v>110145.15642857143</v>
      </c>
      <c r="H49" s="455">
        <f t="shared" si="16"/>
        <v>110145.15642857143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525493.14439786761</v>
      </c>
      <c r="E50" s="484">
        <f t="shared" si="13"/>
        <v>53491.156428571427</v>
      </c>
      <c r="F50" s="485">
        <f t="shared" si="14"/>
        <v>472001.98796929617</v>
      </c>
      <c r="G50" s="486">
        <f t="shared" si="15"/>
        <v>104378.15642857143</v>
      </c>
      <c r="H50" s="455">
        <f t="shared" si="16"/>
        <v>104378.15642857143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472001.98796929617</v>
      </c>
      <c r="E51" s="484">
        <f t="shared" si="13"/>
        <v>53491.156428571427</v>
      </c>
      <c r="F51" s="485">
        <f t="shared" si="14"/>
        <v>418510.83154072473</v>
      </c>
      <c r="G51" s="486">
        <f t="shared" si="15"/>
        <v>98611.156428571427</v>
      </c>
      <c r="H51" s="455">
        <f t="shared" si="16"/>
        <v>98611.156428571427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418510.83154072473</v>
      </c>
      <c r="E52" s="484">
        <f t="shared" si="13"/>
        <v>53491.156428571427</v>
      </c>
      <c r="F52" s="485">
        <f t="shared" si="14"/>
        <v>365019.67511215329</v>
      </c>
      <c r="G52" s="486">
        <f t="shared" si="15"/>
        <v>92844.156428571427</v>
      </c>
      <c r="H52" s="455">
        <f t="shared" si="16"/>
        <v>92844.156428571427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365019.67511215329</v>
      </c>
      <c r="E53" s="484">
        <f t="shared" si="13"/>
        <v>53491.156428571427</v>
      </c>
      <c r="F53" s="485">
        <f t="shared" si="14"/>
        <v>311528.51868358185</v>
      </c>
      <c r="G53" s="486">
        <f t="shared" si="15"/>
        <v>87077.156428571427</v>
      </c>
      <c r="H53" s="455">
        <f t="shared" si="16"/>
        <v>87077.156428571427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311528.51868358185</v>
      </c>
      <c r="E54" s="484">
        <f t="shared" si="13"/>
        <v>53491.156428571427</v>
      </c>
      <c r="F54" s="485">
        <f t="shared" si="14"/>
        <v>258037.3622550104</v>
      </c>
      <c r="G54" s="486">
        <f t="shared" si="15"/>
        <v>81310.156428571427</v>
      </c>
      <c r="H54" s="455">
        <f t="shared" si="16"/>
        <v>81310.156428571427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258037.3622550104</v>
      </c>
      <c r="E55" s="484">
        <f t="shared" si="13"/>
        <v>53491.156428571427</v>
      </c>
      <c r="F55" s="485">
        <f t="shared" si="14"/>
        <v>204546.20582643896</v>
      </c>
      <c r="G55" s="486">
        <f t="shared" si="15"/>
        <v>75543.156428571427</v>
      </c>
      <c r="H55" s="455">
        <f t="shared" si="16"/>
        <v>75543.156428571427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204546.20582643896</v>
      </c>
      <c r="E56" s="484">
        <f t="shared" si="13"/>
        <v>53491.156428571427</v>
      </c>
      <c r="F56" s="485">
        <f t="shared" si="14"/>
        <v>151055.04939786752</v>
      </c>
      <c r="G56" s="486">
        <f t="shared" si="15"/>
        <v>69776.156428571427</v>
      </c>
      <c r="H56" s="455">
        <f t="shared" si="16"/>
        <v>69776.156428571427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151055.04939786752</v>
      </c>
      <c r="E57" s="484">
        <f t="shared" si="13"/>
        <v>53491.156428571427</v>
      </c>
      <c r="F57" s="485">
        <f t="shared" si="14"/>
        <v>97563.892969296096</v>
      </c>
      <c r="G57" s="486">
        <f t="shared" si="15"/>
        <v>64009.156428571427</v>
      </c>
      <c r="H57" s="455">
        <f t="shared" si="16"/>
        <v>64009.156428571427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97563.892969296096</v>
      </c>
      <c r="E58" s="484">
        <f t="shared" si="13"/>
        <v>53491.156428571427</v>
      </c>
      <c r="F58" s="485">
        <f t="shared" si="14"/>
        <v>44072.736540724669</v>
      </c>
      <c r="G58" s="486">
        <f t="shared" si="15"/>
        <v>58243.156428571427</v>
      </c>
      <c r="H58" s="455">
        <f t="shared" si="16"/>
        <v>58243.156428571427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44072.736540724669</v>
      </c>
      <c r="E59" s="484">
        <f t="shared" si="13"/>
        <v>44072.736540724669</v>
      </c>
      <c r="F59" s="485">
        <f t="shared" si="14"/>
        <v>0</v>
      </c>
      <c r="G59" s="486">
        <f t="shared" si="15"/>
        <v>44072.736540724669</v>
      </c>
      <c r="H59" s="455">
        <f t="shared" si="16"/>
        <v>44072.736540724669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3"/>
        <v>0</v>
      </c>
      <c r="F60" s="485">
        <f t="shared" si="14"/>
        <v>0</v>
      </c>
      <c r="G60" s="486">
        <f t="shared" si="15"/>
        <v>0</v>
      </c>
      <c r="H60" s="455">
        <f t="shared" si="16"/>
        <v>0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.5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3"/>
        <v>0</v>
      </c>
      <c r="F72" s="485">
        <f t="shared" si="14"/>
        <v>0</v>
      </c>
      <c r="G72" s="486">
        <f t="shared" si="15"/>
        <v>0</v>
      </c>
      <c r="H72" s="455">
        <f t="shared" si="16"/>
        <v>0</v>
      </c>
      <c r="I72" s="475">
        <f t="shared" si="4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>
      <c r="C73" s="346" t="s">
        <v>77</v>
      </c>
      <c r="D73" s="347"/>
      <c r="E73" s="347">
        <f>SUM(E17:E72)</f>
        <v>2246628.5699999989</v>
      </c>
      <c r="F73" s="347"/>
      <c r="G73" s="347">
        <f>SUM(G17:G72)</f>
        <v>7681850.8631858071</v>
      </c>
      <c r="H73" s="347">
        <f>SUM(H17:H72)</f>
        <v>7681850.8631858071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15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263885.04985844565</v>
      </c>
      <c r="N87" s="508">
        <f>IF(J92&lt;D11,0,VLOOKUP(J92,C17:O72,11))</f>
        <v>263885.04985844565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275528.74296443292</v>
      </c>
      <c r="N88" s="512">
        <f>IF(J92&lt;D11,0,VLOOKUP(J92,C99:P154,7))</f>
        <v>275528.74296443292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Locust Grove to Lone Star 115 kV Rebuild 2.1 miles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11643.693105987273</v>
      </c>
      <c r="N89" s="517">
        <f>+N88-N87</f>
        <v>11643.693105987273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TP2009093</v>
      </c>
      <c r="E91" s="522" t="str">
        <f>E9</f>
        <v xml:space="preserve">  SPP Project ID = 649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2246628.5699999998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604" t="s">
        <v>272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+D12</f>
        <v>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53491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 t="str">
        <f>IF(D93= "","-",D93)</f>
        <v>2014</v>
      </c>
      <c r="D99" s="584">
        <v>0</v>
      </c>
      <c r="E99" s="585">
        <v>36003.333333333336</v>
      </c>
      <c r="F99" s="586">
        <v>2210625.2366666663</v>
      </c>
      <c r="G99" s="605">
        <v>1105312.6183333332</v>
      </c>
      <c r="H99" s="606">
        <v>191405.76922123961</v>
      </c>
      <c r="I99" s="607">
        <v>191405.76922123961</v>
      </c>
      <c r="J99" s="478">
        <v>0</v>
      </c>
      <c r="K99" s="478"/>
      <c r="L99" s="476">
        <f t="shared" ref="L99:L105" si="18">H99</f>
        <v>191405.76922123961</v>
      </c>
      <c r="M99" s="348">
        <f t="shared" ref="M99:M105" si="19">IF(L99&lt;&gt;0,+H99-L99,0)</f>
        <v>0</v>
      </c>
      <c r="N99" s="476">
        <f t="shared" ref="N99:N105" si="20">I99</f>
        <v>191405.76922123961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/>
      </c>
      <c r="C100" s="472">
        <f>IF(D93="","-",+C99+1)</f>
        <v>2015</v>
      </c>
      <c r="D100" s="584">
        <v>2210625.2366666663</v>
      </c>
      <c r="E100" s="585">
        <v>43204</v>
      </c>
      <c r="F100" s="586">
        <v>2167421.2366666663</v>
      </c>
      <c r="G100" s="586">
        <v>2189023.2366666663</v>
      </c>
      <c r="H100" s="606">
        <v>341878.62002899748</v>
      </c>
      <c r="I100" s="607">
        <v>341878.62002899748</v>
      </c>
      <c r="J100" s="478">
        <f>+I100-H100</f>
        <v>0</v>
      </c>
      <c r="K100" s="478"/>
      <c r="L100" s="476">
        <f t="shared" si="18"/>
        <v>341878.62002899748</v>
      </c>
      <c r="M100" s="348">
        <f t="shared" si="19"/>
        <v>0</v>
      </c>
      <c r="N100" s="476">
        <f t="shared" si="20"/>
        <v>341878.62002899748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/>
      </c>
      <c r="C101" s="472">
        <f>IF(D93="","-",+C100+1)</f>
        <v>2016</v>
      </c>
      <c r="D101" s="584">
        <v>2167421.2366666663</v>
      </c>
      <c r="E101" s="585">
        <v>48840</v>
      </c>
      <c r="F101" s="586">
        <v>2118581.2366666663</v>
      </c>
      <c r="G101" s="586">
        <v>2143001.2366666663</v>
      </c>
      <c r="H101" s="606">
        <v>325106.60926354182</v>
      </c>
      <c r="I101" s="607">
        <v>325106.60926354182</v>
      </c>
      <c r="J101" s="478">
        <f t="shared" ref="J101:J154" si="22">+I101-H101</f>
        <v>0</v>
      </c>
      <c r="K101" s="478"/>
      <c r="L101" s="476">
        <f t="shared" si="18"/>
        <v>325106.60926354182</v>
      </c>
      <c r="M101" s="348">
        <f t="shared" si="19"/>
        <v>0</v>
      </c>
      <c r="N101" s="476">
        <f t="shared" si="20"/>
        <v>325106.60926354182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84">
        <v>2118581.2366666663</v>
      </c>
      <c r="E102" s="585">
        <v>48840</v>
      </c>
      <c r="F102" s="586">
        <v>2069741.2366666663</v>
      </c>
      <c r="G102" s="586">
        <v>2094161.2366666663</v>
      </c>
      <c r="H102" s="606">
        <v>314489.63330060086</v>
      </c>
      <c r="I102" s="607">
        <v>314489.63330060086</v>
      </c>
      <c r="J102" s="478">
        <f t="shared" si="22"/>
        <v>0</v>
      </c>
      <c r="K102" s="478"/>
      <c r="L102" s="476">
        <f t="shared" si="18"/>
        <v>314489.63330060086</v>
      </c>
      <c r="M102" s="348">
        <f t="shared" si="19"/>
        <v>0</v>
      </c>
      <c r="N102" s="476">
        <f t="shared" si="20"/>
        <v>314489.63330060086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84">
        <v>2069741.2366666663</v>
      </c>
      <c r="E103" s="585">
        <v>52247</v>
      </c>
      <c r="F103" s="586">
        <v>2017494.2366666663</v>
      </c>
      <c r="G103" s="586">
        <v>2043617.7366666663</v>
      </c>
      <c r="H103" s="606">
        <v>262199.22655399318</v>
      </c>
      <c r="I103" s="607">
        <v>262199.22655399318</v>
      </c>
      <c r="J103" s="478">
        <f t="shared" si="22"/>
        <v>0</v>
      </c>
      <c r="K103" s="478"/>
      <c r="L103" s="476">
        <f t="shared" si="18"/>
        <v>262199.22655399318</v>
      </c>
      <c r="M103" s="348">
        <f t="shared" si="19"/>
        <v>0</v>
      </c>
      <c r="N103" s="476">
        <f t="shared" si="20"/>
        <v>262199.22655399318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84">
        <v>2017494.2366666663</v>
      </c>
      <c r="E104" s="585">
        <v>54796</v>
      </c>
      <c r="F104" s="586">
        <v>1962698.2366666663</v>
      </c>
      <c r="G104" s="586">
        <v>1990096.2366666663</v>
      </c>
      <c r="H104" s="606">
        <v>260002.83525061089</v>
      </c>
      <c r="I104" s="607">
        <v>260002.83525061089</v>
      </c>
      <c r="J104" s="478">
        <f t="shared" si="22"/>
        <v>0</v>
      </c>
      <c r="K104" s="478"/>
      <c r="L104" s="476">
        <f t="shared" si="18"/>
        <v>260002.83525061089</v>
      </c>
      <c r="M104" s="348">
        <f t="shared" si="19"/>
        <v>0</v>
      </c>
      <c r="N104" s="476">
        <f t="shared" si="20"/>
        <v>260002.83525061089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84">
        <v>1962698.2366666663</v>
      </c>
      <c r="E105" s="585">
        <v>52247</v>
      </c>
      <c r="F105" s="586">
        <v>1910451.2366666663</v>
      </c>
      <c r="G105" s="586">
        <v>1936574.7366666663</v>
      </c>
      <c r="H105" s="606">
        <v>275528.74296443292</v>
      </c>
      <c r="I105" s="607">
        <v>275528.74296443292</v>
      </c>
      <c r="J105" s="478">
        <f t="shared" si="22"/>
        <v>0</v>
      </c>
      <c r="K105" s="478"/>
      <c r="L105" s="476">
        <f t="shared" si="18"/>
        <v>275528.74296443292</v>
      </c>
      <c r="M105" s="348">
        <f t="shared" si="19"/>
        <v>0</v>
      </c>
      <c r="N105" s="476">
        <f t="shared" si="20"/>
        <v>275528.74296443292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6">
        <f>IF(F105+SUM(E$99:E105)=D$92,F105,D$92-SUM(E$99:E105))</f>
        <v>1910451.2366666663</v>
      </c>
      <c r="E106" s="484">
        <f t="shared" ref="E106:E154" si="25">IF(+J$96&lt;F105,J$96,D106)</f>
        <v>53491</v>
      </c>
      <c r="F106" s="485">
        <f t="shared" ref="F106:F154" si="26">+D106-E106</f>
        <v>1856960.2366666663</v>
      </c>
      <c r="G106" s="485">
        <f t="shared" ref="G106:G154" si="27">+(F106+D106)/2</f>
        <v>1883705.7366666663</v>
      </c>
      <c r="H106" s="488">
        <f t="shared" ref="H106:H154" si="28">+J$94*G106+E106</f>
        <v>256575.66220430034</v>
      </c>
      <c r="I106" s="542">
        <f t="shared" ref="I106:I154" si="29">+J$95*G106+E106</f>
        <v>256575.66220430034</v>
      </c>
      <c r="J106" s="478">
        <f t="shared" si="22"/>
        <v>0</v>
      </c>
      <c r="K106" s="478"/>
      <c r="L106" s="487"/>
      <c r="M106" s="478">
        <f t="shared" ref="M106:M130" si="30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6">
        <f>IF(F106+SUM(E$99:E106)=D$92,F106,D$92-SUM(E$99:E106))</f>
        <v>1856960.2366666663</v>
      </c>
      <c r="E107" s="484">
        <f t="shared" si="25"/>
        <v>53491</v>
      </c>
      <c r="F107" s="485">
        <f t="shared" si="26"/>
        <v>1803469.2366666663</v>
      </c>
      <c r="G107" s="485">
        <f t="shared" si="27"/>
        <v>1830214.7366666663</v>
      </c>
      <c r="H107" s="488">
        <f t="shared" si="28"/>
        <v>250808.73085482462</v>
      </c>
      <c r="I107" s="542">
        <f t="shared" si="29"/>
        <v>250808.73085482462</v>
      </c>
      <c r="J107" s="478">
        <f t="shared" si="22"/>
        <v>0</v>
      </c>
      <c r="K107" s="478"/>
      <c r="L107" s="487"/>
      <c r="M107" s="478">
        <f t="shared" si="30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6">
        <f>IF(F107+SUM(E$99:E107)=D$92,F107,D$92-SUM(E$99:E107))</f>
        <v>1803469.2366666663</v>
      </c>
      <c r="E108" s="484">
        <f t="shared" si="25"/>
        <v>53491</v>
      </c>
      <c r="F108" s="485">
        <f t="shared" si="26"/>
        <v>1749978.2366666663</v>
      </c>
      <c r="G108" s="485">
        <f t="shared" si="27"/>
        <v>1776723.7366666663</v>
      </c>
      <c r="H108" s="488">
        <f t="shared" si="28"/>
        <v>245041.79950534893</v>
      </c>
      <c r="I108" s="542">
        <f t="shared" si="29"/>
        <v>245041.79950534893</v>
      </c>
      <c r="J108" s="478">
        <f t="shared" si="22"/>
        <v>0</v>
      </c>
      <c r="K108" s="478"/>
      <c r="L108" s="487"/>
      <c r="M108" s="478">
        <f t="shared" si="30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6">
        <f>IF(F108+SUM(E$99:E108)=D$92,F108,D$92-SUM(E$99:E108))</f>
        <v>1749978.2366666663</v>
      </c>
      <c r="E109" s="484">
        <f t="shared" si="25"/>
        <v>53491</v>
      </c>
      <c r="F109" s="485">
        <f t="shared" si="26"/>
        <v>1696487.2366666663</v>
      </c>
      <c r="G109" s="485">
        <f t="shared" si="27"/>
        <v>1723232.7366666663</v>
      </c>
      <c r="H109" s="488">
        <f t="shared" si="28"/>
        <v>239274.86815587321</v>
      </c>
      <c r="I109" s="542">
        <f t="shared" si="29"/>
        <v>239274.86815587321</v>
      </c>
      <c r="J109" s="478">
        <f t="shared" si="22"/>
        <v>0</v>
      </c>
      <c r="K109" s="478"/>
      <c r="L109" s="487"/>
      <c r="M109" s="478">
        <f t="shared" si="30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6">
        <f>IF(F109+SUM(E$99:E109)=D$92,F109,D$92-SUM(E$99:E109))</f>
        <v>1696487.2366666663</v>
      </c>
      <c r="E110" s="484">
        <f t="shared" si="25"/>
        <v>53491</v>
      </c>
      <c r="F110" s="485">
        <f t="shared" si="26"/>
        <v>1642996.2366666663</v>
      </c>
      <c r="G110" s="485">
        <f t="shared" si="27"/>
        <v>1669741.7366666663</v>
      </c>
      <c r="H110" s="488">
        <f t="shared" si="28"/>
        <v>233507.93680639751</v>
      </c>
      <c r="I110" s="542">
        <f t="shared" si="29"/>
        <v>233507.93680639751</v>
      </c>
      <c r="J110" s="478">
        <f t="shared" si="22"/>
        <v>0</v>
      </c>
      <c r="K110" s="478"/>
      <c r="L110" s="487"/>
      <c r="M110" s="478">
        <f t="shared" si="30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6">
        <f>IF(F110+SUM(E$99:E110)=D$92,F110,D$92-SUM(E$99:E110))</f>
        <v>1642996.2366666663</v>
      </c>
      <c r="E111" s="484">
        <f t="shared" si="25"/>
        <v>53491</v>
      </c>
      <c r="F111" s="485">
        <f t="shared" si="26"/>
        <v>1589505.2366666663</v>
      </c>
      <c r="G111" s="485">
        <f t="shared" si="27"/>
        <v>1616250.7366666663</v>
      </c>
      <c r="H111" s="488">
        <f t="shared" si="28"/>
        <v>227741.00545692179</v>
      </c>
      <c r="I111" s="542">
        <f t="shared" si="29"/>
        <v>227741.00545692179</v>
      </c>
      <c r="J111" s="478">
        <f t="shared" si="22"/>
        <v>0</v>
      </c>
      <c r="K111" s="478"/>
      <c r="L111" s="487"/>
      <c r="M111" s="478">
        <f t="shared" si="30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6">
        <f>IF(F111+SUM(E$99:E111)=D$92,F111,D$92-SUM(E$99:E111))</f>
        <v>1589505.2366666663</v>
      </c>
      <c r="E112" s="484">
        <f t="shared" si="25"/>
        <v>53491</v>
      </c>
      <c r="F112" s="485">
        <f t="shared" si="26"/>
        <v>1536014.2366666663</v>
      </c>
      <c r="G112" s="485">
        <f t="shared" si="27"/>
        <v>1562759.7366666663</v>
      </c>
      <c r="H112" s="488">
        <f t="shared" si="28"/>
        <v>221974.0741074461</v>
      </c>
      <c r="I112" s="542">
        <f t="shared" si="29"/>
        <v>221974.0741074461</v>
      </c>
      <c r="J112" s="478">
        <f t="shared" si="22"/>
        <v>0</v>
      </c>
      <c r="K112" s="478"/>
      <c r="L112" s="487"/>
      <c r="M112" s="478">
        <f t="shared" si="30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6">
        <f>IF(F112+SUM(E$99:E112)=D$92,F112,D$92-SUM(E$99:E112))</f>
        <v>1536014.2366666663</v>
      </c>
      <c r="E113" s="484">
        <f t="shared" si="25"/>
        <v>53491</v>
      </c>
      <c r="F113" s="485">
        <f t="shared" si="26"/>
        <v>1482523.2366666663</v>
      </c>
      <c r="G113" s="485">
        <f t="shared" si="27"/>
        <v>1509268.7366666663</v>
      </c>
      <c r="H113" s="488">
        <f t="shared" si="28"/>
        <v>216207.14275797037</v>
      </c>
      <c r="I113" s="542">
        <f t="shared" si="29"/>
        <v>216207.14275797037</v>
      </c>
      <c r="J113" s="478">
        <f t="shared" si="22"/>
        <v>0</v>
      </c>
      <c r="K113" s="478"/>
      <c r="L113" s="487"/>
      <c r="M113" s="478">
        <f t="shared" si="30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6">
        <f>IF(F113+SUM(E$99:E113)=D$92,F113,D$92-SUM(E$99:E113))</f>
        <v>1482523.2366666663</v>
      </c>
      <c r="E114" s="484">
        <f t="shared" si="25"/>
        <v>53491</v>
      </c>
      <c r="F114" s="485">
        <f t="shared" si="26"/>
        <v>1429032.2366666663</v>
      </c>
      <c r="G114" s="485">
        <f t="shared" si="27"/>
        <v>1455777.7366666663</v>
      </c>
      <c r="H114" s="488">
        <f t="shared" si="28"/>
        <v>210440.21140849468</v>
      </c>
      <c r="I114" s="542">
        <f t="shared" si="29"/>
        <v>210440.21140849468</v>
      </c>
      <c r="J114" s="478">
        <f t="shared" si="22"/>
        <v>0</v>
      </c>
      <c r="K114" s="478"/>
      <c r="L114" s="487"/>
      <c r="M114" s="478">
        <f t="shared" si="30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6">
        <f>IF(F114+SUM(E$99:E114)=D$92,F114,D$92-SUM(E$99:E114))</f>
        <v>1429032.2366666663</v>
      </c>
      <c r="E115" s="484">
        <f t="shared" si="25"/>
        <v>53491</v>
      </c>
      <c r="F115" s="485">
        <f t="shared" si="26"/>
        <v>1375541.2366666663</v>
      </c>
      <c r="G115" s="485">
        <f t="shared" si="27"/>
        <v>1402286.7366666663</v>
      </c>
      <c r="H115" s="488">
        <f t="shared" si="28"/>
        <v>204673.28005901896</v>
      </c>
      <c r="I115" s="542">
        <f t="shared" si="29"/>
        <v>204673.28005901896</v>
      </c>
      <c r="J115" s="478">
        <f t="shared" si="22"/>
        <v>0</v>
      </c>
      <c r="K115" s="478"/>
      <c r="L115" s="487"/>
      <c r="M115" s="478">
        <f t="shared" si="30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6">
        <f>IF(F115+SUM(E$99:E115)=D$92,F115,D$92-SUM(E$99:E115))</f>
        <v>1375541.2366666663</v>
      </c>
      <c r="E116" s="484">
        <f t="shared" si="25"/>
        <v>53491</v>
      </c>
      <c r="F116" s="485">
        <f t="shared" si="26"/>
        <v>1322050.2366666663</v>
      </c>
      <c r="G116" s="485">
        <f t="shared" si="27"/>
        <v>1348795.7366666663</v>
      </c>
      <c r="H116" s="488">
        <f t="shared" si="28"/>
        <v>198906.34870954326</v>
      </c>
      <c r="I116" s="542">
        <f t="shared" si="29"/>
        <v>198906.34870954326</v>
      </c>
      <c r="J116" s="478">
        <f t="shared" si="22"/>
        <v>0</v>
      </c>
      <c r="K116" s="478"/>
      <c r="L116" s="487"/>
      <c r="M116" s="478">
        <f t="shared" si="30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6">
        <f>IF(F116+SUM(E$99:E116)=D$92,F116,D$92-SUM(E$99:E116))</f>
        <v>1322050.2366666663</v>
      </c>
      <c r="E117" s="484">
        <f t="shared" si="25"/>
        <v>53491</v>
      </c>
      <c r="F117" s="485">
        <f t="shared" si="26"/>
        <v>1268559.2366666663</v>
      </c>
      <c r="G117" s="485">
        <f t="shared" si="27"/>
        <v>1295304.7366666663</v>
      </c>
      <c r="H117" s="488">
        <f t="shared" si="28"/>
        <v>193139.41736006754</v>
      </c>
      <c r="I117" s="542">
        <f t="shared" si="29"/>
        <v>193139.41736006754</v>
      </c>
      <c r="J117" s="478">
        <f t="shared" si="22"/>
        <v>0</v>
      </c>
      <c r="K117" s="478"/>
      <c r="L117" s="487"/>
      <c r="M117" s="478">
        <f t="shared" si="30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6">
        <f>IF(F117+SUM(E$99:E117)=D$92,F117,D$92-SUM(E$99:E117))</f>
        <v>1268559.2366666663</v>
      </c>
      <c r="E118" s="484">
        <f t="shared" si="25"/>
        <v>53491</v>
      </c>
      <c r="F118" s="485">
        <f t="shared" si="26"/>
        <v>1215068.2366666663</v>
      </c>
      <c r="G118" s="485">
        <f t="shared" si="27"/>
        <v>1241813.7366666663</v>
      </c>
      <c r="H118" s="488">
        <f t="shared" si="28"/>
        <v>187372.48601059185</v>
      </c>
      <c r="I118" s="542">
        <f t="shared" si="29"/>
        <v>187372.48601059185</v>
      </c>
      <c r="J118" s="478">
        <f t="shared" si="22"/>
        <v>0</v>
      </c>
      <c r="K118" s="478"/>
      <c r="L118" s="487"/>
      <c r="M118" s="478">
        <f t="shared" si="30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6">
        <f>IF(F118+SUM(E$99:E118)=D$92,F118,D$92-SUM(E$99:E118))</f>
        <v>1215068.2366666663</v>
      </c>
      <c r="E119" s="484">
        <f t="shared" si="25"/>
        <v>53491</v>
      </c>
      <c r="F119" s="485">
        <f t="shared" si="26"/>
        <v>1161577.2366666663</v>
      </c>
      <c r="G119" s="485">
        <f t="shared" si="27"/>
        <v>1188322.7366666663</v>
      </c>
      <c r="H119" s="488">
        <f t="shared" si="28"/>
        <v>181605.55466111616</v>
      </c>
      <c r="I119" s="542">
        <f t="shared" si="29"/>
        <v>181605.55466111616</v>
      </c>
      <c r="J119" s="478">
        <f t="shared" si="22"/>
        <v>0</v>
      </c>
      <c r="K119" s="478"/>
      <c r="L119" s="487"/>
      <c r="M119" s="478">
        <f t="shared" si="30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6">
        <f>IF(F119+SUM(E$99:E119)=D$92,F119,D$92-SUM(E$99:E119))</f>
        <v>1161577.2366666663</v>
      </c>
      <c r="E120" s="484">
        <f t="shared" si="25"/>
        <v>53491</v>
      </c>
      <c r="F120" s="485">
        <f t="shared" si="26"/>
        <v>1108086.2366666663</v>
      </c>
      <c r="G120" s="485">
        <f t="shared" si="27"/>
        <v>1134831.7366666663</v>
      </c>
      <c r="H120" s="488">
        <f t="shared" si="28"/>
        <v>175838.62331164043</v>
      </c>
      <c r="I120" s="542">
        <f t="shared" si="29"/>
        <v>175838.62331164043</v>
      </c>
      <c r="J120" s="478">
        <f t="shared" si="22"/>
        <v>0</v>
      </c>
      <c r="K120" s="478"/>
      <c r="L120" s="487"/>
      <c r="M120" s="478">
        <f t="shared" si="30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6">
        <f>IF(F120+SUM(E$99:E120)=D$92,F120,D$92-SUM(E$99:E120))</f>
        <v>1108086.2366666663</v>
      </c>
      <c r="E121" s="484">
        <f t="shared" si="25"/>
        <v>53491</v>
      </c>
      <c r="F121" s="485">
        <f t="shared" si="26"/>
        <v>1054595.2366666663</v>
      </c>
      <c r="G121" s="485">
        <f t="shared" si="27"/>
        <v>1081340.7366666663</v>
      </c>
      <c r="H121" s="488">
        <f t="shared" si="28"/>
        <v>170071.69196216471</v>
      </c>
      <c r="I121" s="542">
        <f t="shared" si="29"/>
        <v>170071.69196216471</v>
      </c>
      <c r="J121" s="478">
        <f t="shared" si="22"/>
        <v>0</v>
      </c>
      <c r="K121" s="478"/>
      <c r="L121" s="487"/>
      <c r="M121" s="478">
        <f t="shared" si="30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6">
        <f>IF(F121+SUM(E$99:E121)=D$92,F121,D$92-SUM(E$99:E121))</f>
        <v>1054595.2366666663</v>
      </c>
      <c r="E122" s="484">
        <f t="shared" si="25"/>
        <v>53491</v>
      </c>
      <c r="F122" s="485">
        <f t="shared" si="26"/>
        <v>1001104.2366666663</v>
      </c>
      <c r="G122" s="485">
        <f t="shared" si="27"/>
        <v>1027849.7366666663</v>
      </c>
      <c r="H122" s="488">
        <f t="shared" si="28"/>
        <v>164304.76061268902</v>
      </c>
      <c r="I122" s="542">
        <f t="shared" si="29"/>
        <v>164304.76061268902</v>
      </c>
      <c r="J122" s="478">
        <f t="shared" si="22"/>
        <v>0</v>
      </c>
      <c r="K122" s="478"/>
      <c r="L122" s="487"/>
      <c r="M122" s="478">
        <f t="shared" si="30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6">
        <f>IF(F122+SUM(E$99:E122)=D$92,F122,D$92-SUM(E$99:E122))</f>
        <v>1001104.2366666663</v>
      </c>
      <c r="E123" s="484">
        <f t="shared" si="25"/>
        <v>53491</v>
      </c>
      <c r="F123" s="485">
        <f t="shared" si="26"/>
        <v>947613.23666666634</v>
      </c>
      <c r="G123" s="485">
        <f t="shared" si="27"/>
        <v>974358.73666666634</v>
      </c>
      <c r="H123" s="488">
        <f t="shared" si="28"/>
        <v>158537.82926321332</v>
      </c>
      <c r="I123" s="542">
        <f t="shared" si="29"/>
        <v>158537.82926321332</v>
      </c>
      <c r="J123" s="478">
        <f t="shared" si="22"/>
        <v>0</v>
      </c>
      <c r="K123" s="478"/>
      <c r="L123" s="487"/>
      <c r="M123" s="478">
        <f t="shared" si="30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6">
        <f>IF(F123+SUM(E$99:E123)=D$92,F123,D$92-SUM(E$99:E123))</f>
        <v>947613.23666666634</v>
      </c>
      <c r="E124" s="484">
        <f t="shared" si="25"/>
        <v>53491</v>
      </c>
      <c r="F124" s="485">
        <f t="shared" si="26"/>
        <v>894122.23666666634</v>
      </c>
      <c r="G124" s="485">
        <f t="shared" si="27"/>
        <v>920867.73666666634</v>
      </c>
      <c r="H124" s="488">
        <f t="shared" si="28"/>
        <v>152770.8979137376</v>
      </c>
      <c r="I124" s="542">
        <f t="shared" si="29"/>
        <v>152770.8979137376</v>
      </c>
      <c r="J124" s="478">
        <f t="shared" si="22"/>
        <v>0</v>
      </c>
      <c r="K124" s="478"/>
      <c r="L124" s="487"/>
      <c r="M124" s="478">
        <f t="shared" si="30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6">
        <f>IF(F124+SUM(E$99:E124)=D$92,F124,D$92-SUM(E$99:E124))</f>
        <v>894122.23666666634</v>
      </c>
      <c r="E125" s="484">
        <f t="shared" si="25"/>
        <v>53491</v>
      </c>
      <c r="F125" s="485">
        <f t="shared" si="26"/>
        <v>840631.23666666634</v>
      </c>
      <c r="G125" s="485">
        <f t="shared" si="27"/>
        <v>867376.73666666634</v>
      </c>
      <c r="H125" s="488">
        <f t="shared" si="28"/>
        <v>147003.96656426188</v>
      </c>
      <c r="I125" s="542">
        <f t="shared" si="29"/>
        <v>147003.96656426188</v>
      </c>
      <c r="J125" s="478">
        <f t="shared" si="22"/>
        <v>0</v>
      </c>
      <c r="K125" s="478"/>
      <c r="L125" s="487"/>
      <c r="M125" s="478">
        <f t="shared" si="30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6">
        <f>IF(F125+SUM(E$99:E125)=D$92,F125,D$92-SUM(E$99:E125))</f>
        <v>840631.23666666634</v>
      </c>
      <c r="E126" s="484">
        <f t="shared" si="25"/>
        <v>53491</v>
      </c>
      <c r="F126" s="485">
        <f t="shared" si="26"/>
        <v>787140.23666666634</v>
      </c>
      <c r="G126" s="485">
        <f t="shared" si="27"/>
        <v>813885.73666666634</v>
      </c>
      <c r="H126" s="488">
        <f t="shared" si="28"/>
        <v>141237.03521478618</v>
      </c>
      <c r="I126" s="542">
        <f t="shared" si="29"/>
        <v>141237.03521478618</v>
      </c>
      <c r="J126" s="478">
        <f t="shared" si="22"/>
        <v>0</v>
      </c>
      <c r="K126" s="478"/>
      <c r="L126" s="487"/>
      <c r="M126" s="478">
        <f t="shared" si="30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6">
        <f>IF(F126+SUM(E$99:E126)=D$92,F126,D$92-SUM(E$99:E126))</f>
        <v>787140.23666666634</v>
      </c>
      <c r="E127" s="484">
        <f t="shared" si="25"/>
        <v>53491</v>
      </c>
      <c r="F127" s="485">
        <f t="shared" si="26"/>
        <v>733649.23666666634</v>
      </c>
      <c r="G127" s="485">
        <f t="shared" si="27"/>
        <v>760394.73666666634</v>
      </c>
      <c r="H127" s="488">
        <f t="shared" si="28"/>
        <v>135470.10386531049</v>
      </c>
      <c r="I127" s="542">
        <f t="shared" si="29"/>
        <v>135470.10386531049</v>
      </c>
      <c r="J127" s="478">
        <f t="shared" si="22"/>
        <v>0</v>
      </c>
      <c r="K127" s="478"/>
      <c r="L127" s="487"/>
      <c r="M127" s="478">
        <f t="shared" si="30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6">
        <f>IF(F127+SUM(E$99:E127)=D$92,F127,D$92-SUM(E$99:E127))</f>
        <v>733649.23666666634</v>
      </c>
      <c r="E128" s="484">
        <f t="shared" si="25"/>
        <v>53491</v>
      </c>
      <c r="F128" s="485">
        <f t="shared" si="26"/>
        <v>680158.23666666634</v>
      </c>
      <c r="G128" s="485">
        <f t="shared" si="27"/>
        <v>706903.73666666634</v>
      </c>
      <c r="H128" s="488">
        <f t="shared" si="28"/>
        <v>129703.17251583478</v>
      </c>
      <c r="I128" s="542">
        <f t="shared" si="29"/>
        <v>129703.17251583478</v>
      </c>
      <c r="J128" s="478">
        <f t="shared" si="22"/>
        <v>0</v>
      </c>
      <c r="K128" s="478"/>
      <c r="L128" s="487"/>
      <c r="M128" s="478">
        <f t="shared" si="30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6">
        <f>IF(F128+SUM(E$99:E128)=D$92,F128,D$92-SUM(E$99:E128))</f>
        <v>680158.23666666634</v>
      </c>
      <c r="E129" s="484">
        <f t="shared" si="25"/>
        <v>53491</v>
      </c>
      <c r="F129" s="485">
        <f t="shared" si="26"/>
        <v>626667.23666666634</v>
      </c>
      <c r="G129" s="485">
        <f t="shared" si="27"/>
        <v>653412.73666666634</v>
      </c>
      <c r="H129" s="488">
        <f t="shared" si="28"/>
        <v>123936.24116635908</v>
      </c>
      <c r="I129" s="542">
        <f t="shared" si="29"/>
        <v>123936.24116635908</v>
      </c>
      <c r="J129" s="478">
        <f t="shared" si="22"/>
        <v>0</v>
      </c>
      <c r="K129" s="478"/>
      <c r="L129" s="487"/>
      <c r="M129" s="478">
        <f t="shared" si="30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6">
        <f>IF(F129+SUM(E$99:E129)=D$92,F129,D$92-SUM(E$99:E129))</f>
        <v>626667.23666666634</v>
      </c>
      <c r="E130" s="484">
        <f t="shared" si="25"/>
        <v>53491</v>
      </c>
      <c r="F130" s="485">
        <f t="shared" si="26"/>
        <v>573176.23666666634</v>
      </c>
      <c r="G130" s="485">
        <f t="shared" si="27"/>
        <v>599921.73666666634</v>
      </c>
      <c r="H130" s="488">
        <f t="shared" si="28"/>
        <v>118169.30981688335</v>
      </c>
      <c r="I130" s="542">
        <f t="shared" si="29"/>
        <v>118169.30981688335</v>
      </c>
      <c r="J130" s="478">
        <f t="shared" si="22"/>
        <v>0</v>
      </c>
      <c r="K130" s="478"/>
      <c r="L130" s="487"/>
      <c r="M130" s="478">
        <f t="shared" si="30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6">
        <f>IF(F130+SUM(E$99:E130)=D$92,F130,D$92-SUM(E$99:E130))</f>
        <v>573176.23666666634</v>
      </c>
      <c r="E131" s="484">
        <f t="shared" si="25"/>
        <v>53491</v>
      </c>
      <c r="F131" s="485">
        <f t="shared" si="26"/>
        <v>519685.23666666634</v>
      </c>
      <c r="G131" s="485">
        <f t="shared" si="27"/>
        <v>546430.73666666634</v>
      </c>
      <c r="H131" s="488">
        <f t="shared" si="28"/>
        <v>112402.37846740766</v>
      </c>
      <c r="I131" s="542">
        <f t="shared" si="29"/>
        <v>112402.37846740766</v>
      </c>
      <c r="J131" s="478">
        <f t="shared" si="22"/>
        <v>0</v>
      </c>
      <c r="K131" s="478"/>
      <c r="L131" s="487"/>
      <c r="M131" s="478">
        <f t="shared" ref="M131:M154" si="31">IF(L541&lt;&gt;0,+H541-L541,0)</f>
        <v>0</v>
      </c>
      <c r="N131" s="487"/>
      <c r="O131" s="478">
        <f t="shared" ref="O131:O154" si="32">IF(N541&lt;&gt;0,+I541-N541,0)</f>
        <v>0</v>
      </c>
      <c r="P131" s="478">
        <f t="shared" ref="P131:P154" si="33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6">
        <f>IF(F131+SUM(E$99:E131)=D$92,F131,D$92-SUM(E$99:E131))</f>
        <v>519685.23666666634</v>
      </c>
      <c r="E132" s="484">
        <f t="shared" si="25"/>
        <v>53491</v>
      </c>
      <c r="F132" s="485">
        <f t="shared" si="26"/>
        <v>466194.23666666634</v>
      </c>
      <c r="G132" s="485">
        <f t="shared" si="27"/>
        <v>492939.73666666634</v>
      </c>
      <c r="H132" s="488">
        <f t="shared" si="28"/>
        <v>106635.44711793195</v>
      </c>
      <c r="I132" s="542">
        <f t="shared" si="29"/>
        <v>106635.44711793195</v>
      </c>
      <c r="J132" s="478">
        <f t="shared" si="22"/>
        <v>0</v>
      </c>
      <c r="K132" s="478"/>
      <c r="L132" s="487"/>
      <c r="M132" s="478">
        <f t="shared" si="31"/>
        <v>0</v>
      </c>
      <c r="N132" s="487"/>
      <c r="O132" s="478">
        <f t="shared" si="32"/>
        <v>0</v>
      </c>
      <c r="P132" s="478">
        <f t="shared" si="33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6">
        <f>IF(F132+SUM(E$99:E132)=D$92,F132,D$92-SUM(E$99:E132))</f>
        <v>466194.23666666634</v>
      </c>
      <c r="E133" s="484">
        <f t="shared" si="25"/>
        <v>53491</v>
      </c>
      <c r="F133" s="485">
        <f t="shared" si="26"/>
        <v>412703.23666666634</v>
      </c>
      <c r="G133" s="485">
        <f t="shared" si="27"/>
        <v>439448.73666666634</v>
      </c>
      <c r="H133" s="488">
        <f t="shared" si="28"/>
        <v>100868.51576845624</v>
      </c>
      <c r="I133" s="542">
        <f t="shared" si="29"/>
        <v>100868.51576845624</v>
      </c>
      <c r="J133" s="478">
        <f t="shared" si="22"/>
        <v>0</v>
      </c>
      <c r="K133" s="478"/>
      <c r="L133" s="487"/>
      <c r="M133" s="478">
        <f t="shared" si="31"/>
        <v>0</v>
      </c>
      <c r="N133" s="487"/>
      <c r="O133" s="478">
        <f t="shared" si="32"/>
        <v>0</v>
      </c>
      <c r="P133" s="478">
        <f t="shared" si="33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6">
        <f>IF(F133+SUM(E$99:E133)=D$92,F133,D$92-SUM(E$99:E133))</f>
        <v>412703.23666666634</v>
      </c>
      <c r="E134" s="484">
        <f t="shared" si="25"/>
        <v>53491</v>
      </c>
      <c r="F134" s="485">
        <f t="shared" si="26"/>
        <v>359212.23666666634</v>
      </c>
      <c r="G134" s="485">
        <f t="shared" si="27"/>
        <v>385957.73666666634</v>
      </c>
      <c r="H134" s="488">
        <f t="shared" si="28"/>
        <v>95101.584418980536</v>
      </c>
      <c r="I134" s="542">
        <f t="shared" si="29"/>
        <v>95101.584418980536</v>
      </c>
      <c r="J134" s="478">
        <f t="shared" si="22"/>
        <v>0</v>
      </c>
      <c r="K134" s="478"/>
      <c r="L134" s="487"/>
      <c r="M134" s="478">
        <f t="shared" si="31"/>
        <v>0</v>
      </c>
      <c r="N134" s="487"/>
      <c r="O134" s="478">
        <f t="shared" si="32"/>
        <v>0</v>
      </c>
      <c r="P134" s="478">
        <f t="shared" si="33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6">
        <f>IF(F134+SUM(E$99:E134)=D$92,F134,D$92-SUM(E$99:E134))</f>
        <v>359212.23666666634</v>
      </c>
      <c r="E135" s="484">
        <f t="shared" si="25"/>
        <v>53491</v>
      </c>
      <c r="F135" s="485">
        <f t="shared" si="26"/>
        <v>305721.23666666634</v>
      </c>
      <c r="G135" s="485">
        <f t="shared" si="27"/>
        <v>332466.73666666634</v>
      </c>
      <c r="H135" s="488">
        <f t="shared" si="28"/>
        <v>89334.653069504828</v>
      </c>
      <c r="I135" s="542">
        <f t="shared" si="29"/>
        <v>89334.653069504828</v>
      </c>
      <c r="J135" s="478">
        <f t="shared" si="22"/>
        <v>0</v>
      </c>
      <c r="K135" s="478"/>
      <c r="L135" s="487"/>
      <c r="M135" s="478">
        <f t="shared" si="31"/>
        <v>0</v>
      </c>
      <c r="N135" s="487"/>
      <c r="O135" s="478">
        <f t="shared" si="32"/>
        <v>0</v>
      </c>
      <c r="P135" s="478">
        <f t="shared" si="33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6">
        <f>IF(F135+SUM(E$99:E135)=D$92,F135,D$92-SUM(E$99:E135))</f>
        <v>305721.23666666634</v>
      </c>
      <c r="E136" s="484">
        <f t="shared" si="25"/>
        <v>53491</v>
      </c>
      <c r="F136" s="485">
        <f t="shared" si="26"/>
        <v>252230.23666666634</v>
      </c>
      <c r="G136" s="485">
        <f t="shared" si="27"/>
        <v>278975.73666666634</v>
      </c>
      <c r="H136" s="488">
        <f t="shared" si="28"/>
        <v>83567.72172002912</v>
      </c>
      <c r="I136" s="542">
        <f t="shared" si="29"/>
        <v>83567.72172002912</v>
      </c>
      <c r="J136" s="478">
        <f t="shared" si="22"/>
        <v>0</v>
      </c>
      <c r="K136" s="478"/>
      <c r="L136" s="487"/>
      <c r="M136" s="478">
        <f t="shared" si="31"/>
        <v>0</v>
      </c>
      <c r="N136" s="487"/>
      <c r="O136" s="478">
        <f t="shared" si="32"/>
        <v>0</v>
      </c>
      <c r="P136" s="478">
        <f t="shared" si="33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6">
        <f>IF(F136+SUM(E$99:E136)=D$92,F136,D$92-SUM(E$99:E136))</f>
        <v>252230.23666666634</v>
      </c>
      <c r="E137" s="484">
        <f t="shared" si="25"/>
        <v>53491</v>
      </c>
      <c r="F137" s="485">
        <f t="shared" si="26"/>
        <v>198739.23666666634</v>
      </c>
      <c r="G137" s="485">
        <f t="shared" si="27"/>
        <v>225484.73666666634</v>
      </c>
      <c r="H137" s="488">
        <f t="shared" si="28"/>
        <v>77800.790370553412</v>
      </c>
      <c r="I137" s="542">
        <f t="shared" si="29"/>
        <v>77800.790370553412</v>
      </c>
      <c r="J137" s="478">
        <f t="shared" si="22"/>
        <v>0</v>
      </c>
      <c r="K137" s="478"/>
      <c r="L137" s="487"/>
      <c r="M137" s="478">
        <f t="shared" si="31"/>
        <v>0</v>
      </c>
      <c r="N137" s="487"/>
      <c r="O137" s="478">
        <f t="shared" si="32"/>
        <v>0</v>
      </c>
      <c r="P137" s="478">
        <f t="shared" si="33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6">
        <f>IF(F137+SUM(E$99:E137)=D$92,F137,D$92-SUM(E$99:E137))</f>
        <v>198739.23666666634</v>
      </c>
      <c r="E138" s="484">
        <f t="shared" si="25"/>
        <v>53491</v>
      </c>
      <c r="F138" s="485">
        <f t="shared" si="26"/>
        <v>145248.23666666634</v>
      </c>
      <c r="G138" s="485">
        <f t="shared" si="27"/>
        <v>171993.73666666634</v>
      </c>
      <c r="H138" s="488">
        <f t="shared" si="28"/>
        <v>72033.859021077704</v>
      </c>
      <c r="I138" s="542">
        <f t="shared" si="29"/>
        <v>72033.859021077704</v>
      </c>
      <c r="J138" s="478">
        <f t="shared" si="22"/>
        <v>0</v>
      </c>
      <c r="K138" s="478"/>
      <c r="L138" s="487"/>
      <c r="M138" s="478">
        <f t="shared" si="31"/>
        <v>0</v>
      </c>
      <c r="N138" s="487"/>
      <c r="O138" s="478">
        <f t="shared" si="32"/>
        <v>0</v>
      </c>
      <c r="P138" s="478">
        <f t="shared" si="33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6">
        <f>IF(F138+SUM(E$99:E138)=D$92,F138,D$92-SUM(E$99:E138))</f>
        <v>145248.23666666634</v>
      </c>
      <c r="E139" s="484">
        <f t="shared" si="25"/>
        <v>53491</v>
      </c>
      <c r="F139" s="485">
        <f t="shared" si="26"/>
        <v>91757.236666666344</v>
      </c>
      <c r="G139" s="485">
        <f t="shared" si="27"/>
        <v>118502.73666666634</v>
      </c>
      <c r="H139" s="488">
        <f t="shared" si="28"/>
        <v>66266.927671601996</v>
      </c>
      <c r="I139" s="542">
        <f t="shared" si="29"/>
        <v>66266.927671601996</v>
      </c>
      <c r="J139" s="478">
        <f t="shared" si="22"/>
        <v>0</v>
      </c>
      <c r="K139" s="478"/>
      <c r="L139" s="487"/>
      <c r="M139" s="478">
        <f t="shared" si="31"/>
        <v>0</v>
      </c>
      <c r="N139" s="487"/>
      <c r="O139" s="478">
        <f t="shared" si="32"/>
        <v>0</v>
      </c>
      <c r="P139" s="478">
        <f t="shared" si="33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6">
        <f>IF(F139+SUM(E$99:E139)=D$92,F139,D$92-SUM(E$99:E139))</f>
        <v>91757.236666666344</v>
      </c>
      <c r="E140" s="484">
        <f t="shared" si="25"/>
        <v>53491</v>
      </c>
      <c r="F140" s="485">
        <f t="shared" si="26"/>
        <v>38266.236666666344</v>
      </c>
      <c r="G140" s="485">
        <f t="shared" si="27"/>
        <v>65011.736666666344</v>
      </c>
      <c r="H140" s="488">
        <f t="shared" si="28"/>
        <v>60499.996322126288</v>
      </c>
      <c r="I140" s="542">
        <f t="shared" si="29"/>
        <v>60499.996322126288</v>
      </c>
      <c r="J140" s="478">
        <f t="shared" si="22"/>
        <v>0</v>
      </c>
      <c r="K140" s="478"/>
      <c r="L140" s="487"/>
      <c r="M140" s="478">
        <f t="shared" si="31"/>
        <v>0</v>
      </c>
      <c r="N140" s="487"/>
      <c r="O140" s="478">
        <f t="shared" si="32"/>
        <v>0</v>
      </c>
      <c r="P140" s="478">
        <f t="shared" si="33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6">
        <f>IF(F140+SUM(E$99:E140)=D$92,F140,D$92-SUM(E$99:E140))</f>
        <v>38266.236666666344</v>
      </c>
      <c r="E141" s="484">
        <f t="shared" si="25"/>
        <v>38266.236666666344</v>
      </c>
      <c r="F141" s="485">
        <f t="shared" si="26"/>
        <v>0</v>
      </c>
      <c r="G141" s="485">
        <f t="shared" si="27"/>
        <v>19133.118333333172</v>
      </c>
      <c r="H141" s="488">
        <f t="shared" si="28"/>
        <v>40329.001990360564</v>
      </c>
      <c r="I141" s="542">
        <f t="shared" si="29"/>
        <v>40329.001990360564</v>
      </c>
      <c r="J141" s="478">
        <f t="shared" si="22"/>
        <v>0</v>
      </c>
      <c r="K141" s="478"/>
      <c r="L141" s="487"/>
      <c r="M141" s="478">
        <f t="shared" si="31"/>
        <v>0</v>
      </c>
      <c r="N141" s="487"/>
      <c r="O141" s="478">
        <f t="shared" si="32"/>
        <v>0</v>
      </c>
      <c r="P141" s="478">
        <f t="shared" si="33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6">
        <f>IF(F141+SUM(E$99:E141)=D$92,F141,D$92-SUM(E$99:E141))</f>
        <v>0</v>
      </c>
      <c r="E142" s="484">
        <f t="shared" si="25"/>
        <v>0</v>
      </c>
      <c r="F142" s="485">
        <f t="shared" si="26"/>
        <v>0</v>
      </c>
      <c r="G142" s="485">
        <f t="shared" si="27"/>
        <v>0</v>
      </c>
      <c r="H142" s="488">
        <f t="shared" si="28"/>
        <v>0</v>
      </c>
      <c r="I142" s="542">
        <f t="shared" si="29"/>
        <v>0</v>
      </c>
      <c r="J142" s="478">
        <f t="shared" si="22"/>
        <v>0</v>
      </c>
      <c r="K142" s="478"/>
      <c r="L142" s="487"/>
      <c r="M142" s="478">
        <f t="shared" si="31"/>
        <v>0</v>
      </c>
      <c r="N142" s="487"/>
      <c r="O142" s="478">
        <f t="shared" si="32"/>
        <v>0</v>
      </c>
      <c r="P142" s="478">
        <f t="shared" si="33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5"/>
        <v>0</v>
      </c>
      <c r="F143" s="485">
        <f t="shared" si="26"/>
        <v>0</v>
      </c>
      <c r="G143" s="485">
        <f t="shared" si="27"/>
        <v>0</v>
      </c>
      <c r="H143" s="488">
        <f t="shared" si="28"/>
        <v>0</v>
      </c>
      <c r="I143" s="542">
        <f t="shared" si="29"/>
        <v>0</v>
      </c>
      <c r="J143" s="478">
        <f t="shared" si="22"/>
        <v>0</v>
      </c>
      <c r="K143" s="478"/>
      <c r="L143" s="487"/>
      <c r="M143" s="478">
        <f t="shared" si="31"/>
        <v>0</v>
      </c>
      <c r="N143" s="487"/>
      <c r="O143" s="478">
        <f t="shared" si="32"/>
        <v>0</v>
      </c>
      <c r="P143" s="478">
        <f t="shared" si="33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5"/>
        <v>0</v>
      </c>
      <c r="F144" s="485">
        <f t="shared" si="26"/>
        <v>0</v>
      </c>
      <c r="G144" s="485">
        <f t="shared" si="27"/>
        <v>0</v>
      </c>
      <c r="H144" s="488">
        <f t="shared" si="28"/>
        <v>0</v>
      </c>
      <c r="I144" s="542">
        <f t="shared" si="29"/>
        <v>0</v>
      </c>
      <c r="J144" s="478">
        <f t="shared" si="22"/>
        <v>0</v>
      </c>
      <c r="K144" s="478"/>
      <c r="L144" s="487"/>
      <c r="M144" s="478">
        <f t="shared" si="31"/>
        <v>0</v>
      </c>
      <c r="N144" s="487"/>
      <c r="O144" s="478">
        <f t="shared" si="32"/>
        <v>0</v>
      </c>
      <c r="P144" s="478">
        <f t="shared" si="33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5"/>
        <v>0</v>
      </c>
      <c r="F145" s="485">
        <f t="shared" si="26"/>
        <v>0</v>
      </c>
      <c r="G145" s="485">
        <f t="shared" si="27"/>
        <v>0</v>
      </c>
      <c r="H145" s="488">
        <f t="shared" si="28"/>
        <v>0</v>
      </c>
      <c r="I145" s="542">
        <f t="shared" si="29"/>
        <v>0</v>
      </c>
      <c r="J145" s="478">
        <f t="shared" si="22"/>
        <v>0</v>
      </c>
      <c r="K145" s="478"/>
      <c r="L145" s="487"/>
      <c r="M145" s="478">
        <f t="shared" si="31"/>
        <v>0</v>
      </c>
      <c r="N145" s="487"/>
      <c r="O145" s="478">
        <f t="shared" si="32"/>
        <v>0</v>
      </c>
      <c r="P145" s="478">
        <f t="shared" si="33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5"/>
        <v>0</v>
      </c>
      <c r="F146" s="485">
        <f t="shared" si="26"/>
        <v>0</v>
      </c>
      <c r="G146" s="485">
        <f t="shared" si="27"/>
        <v>0</v>
      </c>
      <c r="H146" s="488">
        <f t="shared" si="28"/>
        <v>0</v>
      </c>
      <c r="I146" s="542">
        <f t="shared" si="29"/>
        <v>0</v>
      </c>
      <c r="J146" s="478">
        <f t="shared" si="22"/>
        <v>0</v>
      </c>
      <c r="K146" s="478"/>
      <c r="L146" s="487"/>
      <c r="M146" s="478">
        <f t="shared" si="31"/>
        <v>0</v>
      </c>
      <c r="N146" s="487"/>
      <c r="O146" s="478">
        <f t="shared" si="32"/>
        <v>0</v>
      </c>
      <c r="P146" s="478">
        <f t="shared" si="33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5"/>
        <v>0</v>
      </c>
      <c r="F147" s="485">
        <f t="shared" si="26"/>
        <v>0</v>
      </c>
      <c r="G147" s="485">
        <f t="shared" si="27"/>
        <v>0</v>
      </c>
      <c r="H147" s="488">
        <f t="shared" si="28"/>
        <v>0</v>
      </c>
      <c r="I147" s="542">
        <f t="shared" si="29"/>
        <v>0</v>
      </c>
      <c r="J147" s="478">
        <f t="shared" si="22"/>
        <v>0</v>
      </c>
      <c r="K147" s="478"/>
      <c r="L147" s="487"/>
      <c r="M147" s="478">
        <f t="shared" si="31"/>
        <v>0</v>
      </c>
      <c r="N147" s="487"/>
      <c r="O147" s="478">
        <f t="shared" si="32"/>
        <v>0</v>
      </c>
      <c r="P147" s="478">
        <f t="shared" si="33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5"/>
        <v>0</v>
      </c>
      <c r="F148" s="485">
        <f t="shared" si="26"/>
        <v>0</v>
      </c>
      <c r="G148" s="485">
        <f t="shared" si="27"/>
        <v>0</v>
      </c>
      <c r="H148" s="488">
        <f t="shared" si="28"/>
        <v>0</v>
      </c>
      <c r="I148" s="542">
        <f t="shared" si="29"/>
        <v>0</v>
      </c>
      <c r="J148" s="478">
        <f t="shared" si="22"/>
        <v>0</v>
      </c>
      <c r="K148" s="478"/>
      <c r="L148" s="487"/>
      <c r="M148" s="478">
        <f t="shared" si="31"/>
        <v>0</v>
      </c>
      <c r="N148" s="487"/>
      <c r="O148" s="478">
        <f t="shared" si="32"/>
        <v>0</v>
      </c>
      <c r="P148" s="478">
        <f t="shared" si="33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5"/>
        <v>0</v>
      </c>
      <c r="F149" s="485">
        <f t="shared" si="26"/>
        <v>0</v>
      </c>
      <c r="G149" s="485">
        <f t="shared" si="27"/>
        <v>0</v>
      </c>
      <c r="H149" s="488">
        <f t="shared" si="28"/>
        <v>0</v>
      </c>
      <c r="I149" s="542">
        <f t="shared" si="29"/>
        <v>0</v>
      </c>
      <c r="J149" s="478">
        <f t="shared" si="22"/>
        <v>0</v>
      </c>
      <c r="K149" s="478"/>
      <c r="L149" s="487"/>
      <c r="M149" s="478">
        <f t="shared" si="31"/>
        <v>0</v>
      </c>
      <c r="N149" s="487"/>
      <c r="O149" s="478">
        <f t="shared" si="32"/>
        <v>0</v>
      </c>
      <c r="P149" s="478">
        <f t="shared" si="33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5"/>
        <v>0</v>
      </c>
      <c r="F150" s="485">
        <f t="shared" si="26"/>
        <v>0</v>
      </c>
      <c r="G150" s="485">
        <f t="shared" si="27"/>
        <v>0</v>
      </c>
      <c r="H150" s="488">
        <f t="shared" si="28"/>
        <v>0</v>
      </c>
      <c r="I150" s="542">
        <f t="shared" si="29"/>
        <v>0</v>
      </c>
      <c r="J150" s="478">
        <f t="shared" si="22"/>
        <v>0</v>
      </c>
      <c r="K150" s="478"/>
      <c r="L150" s="487"/>
      <c r="M150" s="478">
        <f t="shared" si="31"/>
        <v>0</v>
      </c>
      <c r="N150" s="487"/>
      <c r="O150" s="478">
        <f t="shared" si="32"/>
        <v>0</v>
      </c>
      <c r="P150" s="478">
        <f t="shared" si="33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5"/>
        <v>0</v>
      </c>
      <c r="F151" s="485">
        <f t="shared" si="26"/>
        <v>0</v>
      </c>
      <c r="G151" s="485">
        <f t="shared" si="27"/>
        <v>0</v>
      </c>
      <c r="H151" s="488">
        <f t="shared" si="28"/>
        <v>0</v>
      </c>
      <c r="I151" s="542">
        <f t="shared" si="29"/>
        <v>0</v>
      </c>
      <c r="J151" s="478">
        <f t="shared" si="22"/>
        <v>0</v>
      </c>
      <c r="K151" s="478"/>
      <c r="L151" s="487"/>
      <c r="M151" s="478">
        <f t="shared" si="31"/>
        <v>0</v>
      </c>
      <c r="N151" s="487"/>
      <c r="O151" s="478">
        <f t="shared" si="32"/>
        <v>0</v>
      </c>
      <c r="P151" s="478">
        <f t="shared" si="33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5"/>
        <v>0</v>
      </c>
      <c r="F152" s="485">
        <f t="shared" si="26"/>
        <v>0</v>
      </c>
      <c r="G152" s="485">
        <f t="shared" si="27"/>
        <v>0</v>
      </c>
      <c r="H152" s="488">
        <f t="shared" si="28"/>
        <v>0</v>
      </c>
      <c r="I152" s="542">
        <f t="shared" si="29"/>
        <v>0</v>
      </c>
      <c r="J152" s="478">
        <f t="shared" si="22"/>
        <v>0</v>
      </c>
      <c r="K152" s="478"/>
      <c r="L152" s="487"/>
      <c r="M152" s="478">
        <f t="shared" si="31"/>
        <v>0</v>
      </c>
      <c r="N152" s="487"/>
      <c r="O152" s="478">
        <f t="shared" si="32"/>
        <v>0</v>
      </c>
      <c r="P152" s="478">
        <f t="shared" si="33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5"/>
        <v>0</v>
      </c>
      <c r="F153" s="485">
        <f t="shared" si="26"/>
        <v>0</v>
      </c>
      <c r="G153" s="485">
        <f t="shared" si="27"/>
        <v>0</v>
      </c>
      <c r="H153" s="488">
        <f t="shared" si="28"/>
        <v>0</v>
      </c>
      <c r="I153" s="542">
        <f t="shared" si="29"/>
        <v>0</v>
      </c>
      <c r="J153" s="478">
        <f t="shared" si="22"/>
        <v>0</v>
      </c>
      <c r="K153" s="478"/>
      <c r="L153" s="487"/>
      <c r="M153" s="478">
        <f t="shared" si="31"/>
        <v>0</v>
      </c>
      <c r="N153" s="487"/>
      <c r="O153" s="478">
        <f t="shared" si="32"/>
        <v>0</v>
      </c>
      <c r="P153" s="478">
        <f t="shared" si="33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25"/>
        <v>0</v>
      </c>
      <c r="F154" s="485">
        <f t="shared" si="26"/>
        <v>0</v>
      </c>
      <c r="G154" s="485">
        <f t="shared" si="27"/>
        <v>0</v>
      </c>
      <c r="H154" s="488">
        <f t="shared" si="28"/>
        <v>0</v>
      </c>
      <c r="I154" s="542">
        <f t="shared" si="29"/>
        <v>0</v>
      </c>
      <c r="J154" s="478">
        <f t="shared" si="22"/>
        <v>0</v>
      </c>
      <c r="K154" s="478"/>
      <c r="L154" s="494"/>
      <c r="M154" s="495">
        <f t="shared" si="31"/>
        <v>0</v>
      </c>
      <c r="N154" s="494"/>
      <c r="O154" s="495">
        <f t="shared" si="32"/>
        <v>0</v>
      </c>
      <c r="P154" s="495">
        <f t="shared" si="33"/>
        <v>0</v>
      </c>
    </row>
    <row r="155" spans="2:16">
      <c r="C155" s="346" t="s">
        <v>77</v>
      </c>
      <c r="D155" s="347"/>
      <c r="E155" s="347">
        <f>SUM(E99:E154)</f>
        <v>2246628.5699999998</v>
      </c>
      <c r="F155" s="347"/>
      <c r="G155" s="347"/>
      <c r="H155" s="347">
        <f>SUM(H99:H154)</f>
        <v>7559764.4627862424</v>
      </c>
      <c r="I155" s="347">
        <f>SUM(I99:I154)</f>
        <v>7559764.4627862424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5" priority="1" stopIfTrue="1" operator="equal">
      <formula>$I$10</formula>
    </cfRule>
  </conditionalFormatting>
  <conditionalFormatting sqref="C99:C154">
    <cfRule type="cellIs" dxfId="3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P162"/>
  <sheetViews>
    <sheetView view="pageBreakPreview" topLeftCell="A10" zoomScale="80" zoomScaleNormal="100" zoomScaleSheetLayoutView="80" workbookViewId="0">
      <selection activeCell="E20" sqref="E20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16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568130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568130</v>
      </c>
      <c r="O6" s="232"/>
      <c r="P6" s="232"/>
    </row>
    <row r="7" spans="1:16" ht="13.5" thickBot="1">
      <c r="C7" s="431" t="s">
        <v>46</v>
      </c>
      <c r="D7" s="599" t="s">
        <v>255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254</v>
      </c>
      <c r="E9" s="577" t="s">
        <v>262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5059278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120459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2014</v>
      </c>
      <c r="D17" s="584">
        <v>5300000</v>
      </c>
      <c r="E17" s="608">
        <v>0</v>
      </c>
      <c r="F17" s="584">
        <v>5300000</v>
      </c>
      <c r="G17" s="608">
        <v>729591.46876123699</v>
      </c>
      <c r="H17" s="587">
        <v>729591.46876123699</v>
      </c>
      <c r="I17" s="475">
        <v>0</v>
      </c>
      <c r="J17" s="475"/>
      <c r="K17" s="476">
        <f t="shared" ref="K17:K22" si="0">G17</f>
        <v>729591.46876123699</v>
      </c>
      <c r="L17" s="603">
        <f t="shared" ref="L17:L22" si="1">IF(K17&lt;&gt;0,+G17-K17,0)</f>
        <v>0</v>
      </c>
      <c r="M17" s="476">
        <f t="shared" ref="M17:M22" si="2">H17</f>
        <v>729591.46876123699</v>
      </c>
      <c r="N17" s="478">
        <f>IF(M17&lt;&gt;0,+H17-M17,0)</f>
        <v>0</v>
      </c>
      <c r="O17" s="475">
        <f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2015</v>
      </c>
      <c r="D18" s="584">
        <v>5300000</v>
      </c>
      <c r="E18" s="585">
        <v>101923.07692307692</v>
      </c>
      <c r="F18" s="584">
        <v>5198076.923076923</v>
      </c>
      <c r="G18" s="585">
        <v>818590.55430690572</v>
      </c>
      <c r="H18" s="587">
        <v>818590.55430690572</v>
      </c>
      <c r="I18" s="475">
        <v>0</v>
      </c>
      <c r="J18" s="475"/>
      <c r="K18" s="476">
        <f t="shared" si="0"/>
        <v>818590.55430690572</v>
      </c>
      <c r="L18" s="603">
        <f t="shared" si="1"/>
        <v>0</v>
      </c>
      <c r="M18" s="476">
        <f t="shared" si="2"/>
        <v>818590.55430690572</v>
      </c>
      <c r="N18" s="478">
        <f>IF(M18&lt;&gt;0,+H18-M18,0)</f>
        <v>0</v>
      </c>
      <c r="O18" s="475">
        <f>+N18-L18</f>
        <v>0</v>
      </c>
      <c r="P18" s="242"/>
    </row>
    <row r="19" spans="2:16">
      <c r="B19" s="160" t="str">
        <f>IF(D19=F18,"","IU")</f>
        <v>IU</v>
      </c>
      <c r="C19" s="472">
        <f>IF(D11="","-",+C18+1)</f>
        <v>2016</v>
      </c>
      <c r="D19" s="584">
        <v>4969414.923076923</v>
      </c>
      <c r="E19" s="585">
        <v>97525.730769230766</v>
      </c>
      <c r="F19" s="584">
        <v>4871889.192307692</v>
      </c>
      <c r="G19" s="585">
        <v>736520.73076923075</v>
      </c>
      <c r="H19" s="587">
        <v>736520.73076923075</v>
      </c>
      <c r="I19" s="475">
        <f>H19-G19</f>
        <v>0</v>
      </c>
      <c r="J19" s="475"/>
      <c r="K19" s="476">
        <f t="shared" si="0"/>
        <v>736520.73076923075</v>
      </c>
      <c r="L19" s="603">
        <f t="shared" si="1"/>
        <v>0</v>
      </c>
      <c r="M19" s="476">
        <f t="shared" si="2"/>
        <v>736520.73076923075</v>
      </c>
      <c r="N19" s="478">
        <f>IF(M19&lt;&gt;0,+H19-M19,0)</f>
        <v>0</v>
      </c>
      <c r="O19" s="475">
        <f>+N19-L19</f>
        <v>0</v>
      </c>
      <c r="P19" s="242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84">
        <v>4859829.192307692</v>
      </c>
      <c r="E20" s="585">
        <v>109984.30434782608</v>
      </c>
      <c r="F20" s="584">
        <v>4749844.8879598659</v>
      </c>
      <c r="G20" s="585">
        <v>714452.30434782605</v>
      </c>
      <c r="H20" s="587">
        <v>714452.30434782605</v>
      </c>
      <c r="I20" s="475">
        <f t="shared" ref="I20:I72" si="4">H20-G20</f>
        <v>0</v>
      </c>
      <c r="J20" s="475"/>
      <c r="K20" s="476">
        <f t="shared" si="0"/>
        <v>714452.30434782605</v>
      </c>
      <c r="L20" s="603">
        <f t="shared" si="1"/>
        <v>0</v>
      </c>
      <c r="M20" s="476">
        <f t="shared" si="2"/>
        <v>714452.30434782605</v>
      </c>
      <c r="N20" s="478">
        <f>IF(M20&lt;&gt;0,+H20-M20,0)</f>
        <v>0</v>
      </c>
      <c r="O20" s="475">
        <f>+N20-L20</f>
        <v>0</v>
      </c>
      <c r="P20" s="242"/>
    </row>
    <row r="21" spans="2:16">
      <c r="B21" s="160" t="str">
        <f t="shared" si="3"/>
        <v/>
      </c>
      <c r="C21" s="472">
        <f>IF(D11="","-",+C20+1)</f>
        <v>2018</v>
      </c>
      <c r="D21" s="584">
        <v>4749844.8879598659</v>
      </c>
      <c r="E21" s="585">
        <v>112428.4</v>
      </c>
      <c r="F21" s="584">
        <v>4637416.4879598655</v>
      </c>
      <c r="G21" s="585">
        <v>674532.63926355843</v>
      </c>
      <c r="H21" s="587">
        <v>674532.63926355843</v>
      </c>
      <c r="I21" s="475">
        <f t="shared" si="4"/>
        <v>0</v>
      </c>
      <c r="J21" s="475"/>
      <c r="K21" s="476">
        <f t="shared" si="0"/>
        <v>674532.63926355843</v>
      </c>
      <c r="L21" s="603">
        <f t="shared" si="1"/>
        <v>0</v>
      </c>
      <c r="M21" s="476">
        <f t="shared" si="2"/>
        <v>674532.63926355843</v>
      </c>
      <c r="N21" s="478">
        <f>IF(M21&lt;&gt;0,+H21-M21,0)</f>
        <v>0</v>
      </c>
      <c r="O21" s="475">
        <f>+N21-L21</f>
        <v>0</v>
      </c>
      <c r="P21" s="242"/>
    </row>
    <row r="22" spans="2:16">
      <c r="B22" s="160" t="str">
        <f t="shared" si="3"/>
        <v/>
      </c>
      <c r="C22" s="472">
        <f>IF(D11="","-",+C21+1)</f>
        <v>2019</v>
      </c>
      <c r="D22" s="584">
        <v>4637416.4879598655</v>
      </c>
      <c r="E22" s="585">
        <v>126481.95</v>
      </c>
      <c r="F22" s="584">
        <v>4510934.5379598653</v>
      </c>
      <c r="G22" s="585">
        <v>637218.97874084802</v>
      </c>
      <c r="H22" s="587">
        <v>637218.97874084802</v>
      </c>
      <c r="I22" s="475">
        <f t="shared" si="4"/>
        <v>0</v>
      </c>
      <c r="J22" s="475"/>
      <c r="K22" s="476">
        <f t="shared" si="0"/>
        <v>637218.97874084802</v>
      </c>
      <c r="L22" s="603">
        <f t="shared" si="1"/>
        <v>0</v>
      </c>
      <c r="M22" s="476">
        <f t="shared" si="2"/>
        <v>637218.97874084802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>
      <c r="B23" s="160" t="str">
        <f t="shared" si="3"/>
        <v>IU</v>
      </c>
      <c r="C23" s="472">
        <f>IF(D11="","-",+C22+1)</f>
        <v>2020</v>
      </c>
      <c r="D23" s="584">
        <v>4524988.0879598651</v>
      </c>
      <c r="E23" s="585">
        <v>120459</v>
      </c>
      <c r="F23" s="584">
        <v>4404529.0879598651</v>
      </c>
      <c r="G23" s="585">
        <v>602674.25524940272</v>
      </c>
      <c r="H23" s="587">
        <v>602674.25524940272</v>
      </c>
      <c r="I23" s="475">
        <f t="shared" si="4"/>
        <v>0</v>
      </c>
      <c r="J23" s="475"/>
      <c r="K23" s="476">
        <f t="shared" ref="K23" si="7">G23</f>
        <v>602674.25524940272</v>
      </c>
      <c r="L23" s="603">
        <f t="shared" ref="L23" si="8">IF(K23&lt;&gt;0,+G23-K23,0)</f>
        <v>0</v>
      </c>
      <c r="M23" s="476">
        <f t="shared" ref="M23" si="9">H23</f>
        <v>602674.25524940272</v>
      </c>
      <c r="N23" s="478">
        <f t="shared" si="5"/>
        <v>0</v>
      </c>
      <c r="O23" s="478">
        <f t="shared" si="6"/>
        <v>0</v>
      </c>
      <c r="P23" s="242"/>
    </row>
    <row r="24" spans="2:16">
      <c r="B24" s="160" t="str">
        <f t="shared" si="3"/>
        <v>IU</v>
      </c>
      <c r="C24" s="472">
        <f>IF(D11="","-",+C23+1)</f>
        <v>2021</v>
      </c>
      <c r="D24" s="584">
        <v>4390475.5379598662</v>
      </c>
      <c r="E24" s="585">
        <v>117657.62790697675</v>
      </c>
      <c r="F24" s="584">
        <v>4272817.910052889</v>
      </c>
      <c r="G24" s="585">
        <v>578359.62790697673</v>
      </c>
      <c r="H24" s="587">
        <v>578359.62790697673</v>
      </c>
      <c r="I24" s="475">
        <f t="shared" si="4"/>
        <v>0</v>
      </c>
      <c r="J24" s="475"/>
      <c r="K24" s="476">
        <f t="shared" ref="K24" si="10">G24</f>
        <v>578359.62790697673</v>
      </c>
      <c r="L24" s="603">
        <f t="shared" ref="L24" si="11">IF(K24&lt;&gt;0,+G24-K24,0)</f>
        <v>0</v>
      </c>
      <c r="M24" s="476">
        <f t="shared" ref="M24" si="12">H24</f>
        <v>578359.62790697673</v>
      </c>
      <c r="N24" s="478">
        <f t="shared" si="5"/>
        <v>0</v>
      </c>
      <c r="O24" s="478">
        <f t="shared" si="6"/>
        <v>0</v>
      </c>
      <c r="P24" s="242"/>
    </row>
    <row r="25" spans="2:16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4272817.910052889</v>
      </c>
      <c r="E25" s="484">
        <f t="shared" ref="E25:E72" si="13">IF(+$I$14&lt;F24,$I$14,D25)</f>
        <v>120459</v>
      </c>
      <c r="F25" s="485">
        <f t="shared" ref="F25:F72" si="14">+D25-E25</f>
        <v>4152358.910052889</v>
      </c>
      <c r="G25" s="486">
        <f t="shared" ref="G25:G72" si="15">ROUND(I$12*F25,0)+E25</f>
        <v>568130</v>
      </c>
      <c r="H25" s="455">
        <f t="shared" ref="H25:H72" si="16">ROUND(I$13*F25,0)+E25</f>
        <v>568130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4152358.910052889</v>
      </c>
      <c r="E26" s="484">
        <f t="shared" si="13"/>
        <v>120459</v>
      </c>
      <c r="F26" s="485">
        <f t="shared" si="14"/>
        <v>4031899.910052889</v>
      </c>
      <c r="G26" s="486">
        <f t="shared" si="15"/>
        <v>555143</v>
      </c>
      <c r="H26" s="455">
        <f t="shared" si="16"/>
        <v>555143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4031899.910052889</v>
      </c>
      <c r="E27" s="484">
        <f t="shared" si="13"/>
        <v>120459</v>
      </c>
      <c r="F27" s="485">
        <f t="shared" si="14"/>
        <v>3911440.910052889</v>
      </c>
      <c r="G27" s="486">
        <f t="shared" si="15"/>
        <v>542156</v>
      </c>
      <c r="H27" s="455">
        <f t="shared" si="16"/>
        <v>542156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3911440.910052889</v>
      </c>
      <c r="E28" s="484">
        <f t="shared" si="13"/>
        <v>120459</v>
      </c>
      <c r="F28" s="485">
        <f t="shared" si="14"/>
        <v>3790981.910052889</v>
      </c>
      <c r="G28" s="486">
        <f t="shared" si="15"/>
        <v>529169</v>
      </c>
      <c r="H28" s="455">
        <f t="shared" si="16"/>
        <v>529169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3790981.910052889</v>
      </c>
      <c r="E29" s="484">
        <f t="shared" si="13"/>
        <v>120459</v>
      </c>
      <c r="F29" s="485">
        <f t="shared" si="14"/>
        <v>3670522.910052889</v>
      </c>
      <c r="G29" s="486">
        <f t="shared" si="15"/>
        <v>516183</v>
      </c>
      <c r="H29" s="455">
        <f t="shared" si="16"/>
        <v>516183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3670522.910052889</v>
      </c>
      <c r="E30" s="484">
        <f t="shared" si="13"/>
        <v>120459</v>
      </c>
      <c r="F30" s="485">
        <f t="shared" si="14"/>
        <v>3550063.910052889</v>
      </c>
      <c r="G30" s="486">
        <f t="shared" si="15"/>
        <v>503196</v>
      </c>
      <c r="H30" s="455">
        <f t="shared" si="16"/>
        <v>503196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3550063.910052889</v>
      </c>
      <c r="E31" s="484">
        <f t="shared" si="13"/>
        <v>120459</v>
      </c>
      <c r="F31" s="485">
        <f t="shared" si="14"/>
        <v>3429604.910052889</v>
      </c>
      <c r="G31" s="486">
        <f t="shared" si="15"/>
        <v>490209</v>
      </c>
      <c r="H31" s="455">
        <f t="shared" si="16"/>
        <v>490209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3429604.910052889</v>
      </c>
      <c r="E32" s="484">
        <f t="shared" si="13"/>
        <v>120459</v>
      </c>
      <c r="F32" s="485">
        <f t="shared" si="14"/>
        <v>3309145.910052889</v>
      </c>
      <c r="G32" s="486">
        <f t="shared" si="15"/>
        <v>477222</v>
      </c>
      <c r="H32" s="455">
        <f t="shared" si="16"/>
        <v>477222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3309145.910052889</v>
      </c>
      <c r="E33" s="484">
        <f t="shared" si="13"/>
        <v>120459</v>
      </c>
      <c r="F33" s="485">
        <f t="shared" si="14"/>
        <v>3188686.910052889</v>
      </c>
      <c r="G33" s="486">
        <f t="shared" si="15"/>
        <v>464235</v>
      </c>
      <c r="H33" s="455">
        <f t="shared" si="16"/>
        <v>464235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3188686.910052889</v>
      </c>
      <c r="E34" s="484">
        <f t="shared" si="13"/>
        <v>120459</v>
      </c>
      <c r="F34" s="485">
        <f t="shared" si="14"/>
        <v>3068227.910052889</v>
      </c>
      <c r="G34" s="486">
        <f t="shared" si="15"/>
        <v>451248</v>
      </c>
      <c r="H34" s="455">
        <f t="shared" si="16"/>
        <v>451248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3068227.910052889</v>
      </c>
      <c r="E35" s="484">
        <f t="shared" si="13"/>
        <v>120459</v>
      </c>
      <c r="F35" s="485">
        <f t="shared" si="14"/>
        <v>2947768.910052889</v>
      </c>
      <c r="G35" s="486">
        <f t="shared" si="15"/>
        <v>438262</v>
      </c>
      <c r="H35" s="455">
        <f t="shared" si="16"/>
        <v>438262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2947768.910052889</v>
      </c>
      <c r="E36" s="484">
        <f t="shared" si="13"/>
        <v>120459</v>
      </c>
      <c r="F36" s="485">
        <f t="shared" si="14"/>
        <v>2827309.910052889</v>
      </c>
      <c r="G36" s="486">
        <f t="shared" si="15"/>
        <v>425275</v>
      </c>
      <c r="H36" s="455">
        <f t="shared" si="16"/>
        <v>425275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2827309.910052889</v>
      </c>
      <c r="E37" s="484">
        <f t="shared" si="13"/>
        <v>120459</v>
      </c>
      <c r="F37" s="485">
        <f t="shared" si="14"/>
        <v>2706850.910052889</v>
      </c>
      <c r="G37" s="486">
        <f t="shared" si="15"/>
        <v>412288</v>
      </c>
      <c r="H37" s="455">
        <f t="shared" si="16"/>
        <v>412288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2706850.910052889</v>
      </c>
      <c r="E38" s="484">
        <f t="shared" si="13"/>
        <v>120459</v>
      </c>
      <c r="F38" s="485">
        <f t="shared" si="14"/>
        <v>2586391.910052889</v>
      </c>
      <c r="G38" s="486">
        <f t="shared" si="15"/>
        <v>399301</v>
      </c>
      <c r="H38" s="455">
        <f t="shared" si="16"/>
        <v>399301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2586391.910052889</v>
      </c>
      <c r="E39" s="484">
        <f t="shared" si="13"/>
        <v>120459</v>
      </c>
      <c r="F39" s="485">
        <f t="shared" si="14"/>
        <v>2465932.910052889</v>
      </c>
      <c r="G39" s="486">
        <f t="shared" si="15"/>
        <v>386314</v>
      </c>
      <c r="H39" s="455">
        <f t="shared" si="16"/>
        <v>386314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2465932.910052889</v>
      </c>
      <c r="E40" s="484">
        <f t="shared" si="13"/>
        <v>120459</v>
      </c>
      <c r="F40" s="485">
        <f t="shared" si="14"/>
        <v>2345473.910052889</v>
      </c>
      <c r="G40" s="486">
        <f t="shared" si="15"/>
        <v>373327</v>
      </c>
      <c r="H40" s="455">
        <f t="shared" si="16"/>
        <v>373327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2345473.910052889</v>
      </c>
      <c r="E41" s="484">
        <f t="shared" si="13"/>
        <v>120459</v>
      </c>
      <c r="F41" s="485">
        <f t="shared" si="14"/>
        <v>2225014.910052889</v>
      </c>
      <c r="G41" s="486">
        <f t="shared" si="15"/>
        <v>360341</v>
      </c>
      <c r="H41" s="455">
        <f t="shared" si="16"/>
        <v>360341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2225014.910052889</v>
      </c>
      <c r="E42" s="484">
        <f t="shared" si="13"/>
        <v>120459</v>
      </c>
      <c r="F42" s="485">
        <f t="shared" si="14"/>
        <v>2104555.910052889</v>
      </c>
      <c r="G42" s="486">
        <f t="shared" si="15"/>
        <v>347354</v>
      </c>
      <c r="H42" s="455">
        <f t="shared" si="16"/>
        <v>347354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2104555.910052889</v>
      </c>
      <c r="E43" s="484">
        <f t="shared" si="13"/>
        <v>120459</v>
      </c>
      <c r="F43" s="485">
        <f t="shared" si="14"/>
        <v>1984096.910052889</v>
      </c>
      <c r="G43" s="486">
        <f t="shared" si="15"/>
        <v>334367</v>
      </c>
      <c r="H43" s="455">
        <f t="shared" si="16"/>
        <v>334367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1984096.910052889</v>
      </c>
      <c r="E44" s="484">
        <f t="shared" si="13"/>
        <v>120459</v>
      </c>
      <c r="F44" s="485">
        <f t="shared" si="14"/>
        <v>1863637.910052889</v>
      </c>
      <c r="G44" s="486">
        <f t="shared" si="15"/>
        <v>321380</v>
      </c>
      <c r="H44" s="455">
        <f t="shared" si="16"/>
        <v>321380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1863637.910052889</v>
      </c>
      <c r="E45" s="484">
        <f t="shared" si="13"/>
        <v>120459</v>
      </c>
      <c r="F45" s="485">
        <f t="shared" si="14"/>
        <v>1743178.910052889</v>
      </c>
      <c r="G45" s="486">
        <f t="shared" si="15"/>
        <v>308393</v>
      </c>
      <c r="H45" s="455">
        <f t="shared" si="16"/>
        <v>308393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1743178.910052889</v>
      </c>
      <c r="E46" s="484">
        <f t="shared" si="13"/>
        <v>120459</v>
      </c>
      <c r="F46" s="485">
        <f t="shared" si="14"/>
        <v>1622719.910052889</v>
      </c>
      <c r="G46" s="486">
        <f t="shared" si="15"/>
        <v>295406</v>
      </c>
      <c r="H46" s="455">
        <f t="shared" si="16"/>
        <v>295406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1622719.910052889</v>
      </c>
      <c r="E47" s="484">
        <f t="shared" si="13"/>
        <v>120459</v>
      </c>
      <c r="F47" s="485">
        <f t="shared" si="14"/>
        <v>1502260.910052889</v>
      </c>
      <c r="G47" s="486">
        <f t="shared" si="15"/>
        <v>282420</v>
      </c>
      <c r="H47" s="455">
        <f t="shared" si="16"/>
        <v>282420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1502260.910052889</v>
      </c>
      <c r="E48" s="484">
        <f t="shared" si="13"/>
        <v>120459</v>
      </c>
      <c r="F48" s="485">
        <f t="shared" si="14"/>
        <v>1381801.910052889</v>
      </c>
      <c r="G48" s="486">
        <f t="shared" si="15"/>
        <v>269433</v>
      </c>
      <c r="H48" s="455">
        <f t="shared" si="16"/>
        <v>269433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1381801.910052889</v>
      </c>
      <c r="E49" s="484">
        <f t="shared" si="13"/>
        <v>120459</v>
      </c>
      <c r="F49" s="485">
        <f t="shared" si="14"/>
        <v>1261342.910052889</v>
      </c>
      <c r="G49" s="486">
        <f t="shared" si="15"/>
        <v>256446</v>
      </c>
      <c r="H49" s="455">
        <f t="shared" si="16"/>
        <v>256446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1261342.910052889</v>
      </c>
      <c r="E50" s="484">
        <f t="shared" si="13"/>
        <v>120459</v>
      </c>
      <c r="F50" s="485">
        <f t="shared" si="14"/>
        <v>1140883.910052889</v>
      </c>
      <c r="G50" s="486">
        <f t="shared" si="15"/>
        <v>243459</v>
      </c>
      <c r="H50" s="455">
        <f t="shared" si="16"/>
        <v>243459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1140883.910052889</v>
      </c>
      <c r="E51" s="484">
        <f t="shared" si="13"/>
        <v>120459</v>
      </c>
      <c r="F51" s="485">
        <f t="shared" si="14"/>
        <v>1020424.910052889</v>
      </c>
      <c r="G51" s="486">
        <f t="shared" si="15"/>
        <v>230472</v>
      </c>
      <c r="H51" s="455">
        <f t="shared" si="16"/>
        <v>230472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1020424.910052889</v>
      </c>
      <c r="E52" s="484">
        <f t="shared" si="13"/>
        <v>120459</v>
      </c>
      <c r="F52" s="485">
        <f t="shared" si="14"/>
        <v>899965.91005288903</v>
      </c>
      <c r="G52" s="486">
        <f t="shared" si="15"/>
        <v>217485</v>
      </c>
      <c r="H52" s="455">
        <f t="shared" si="16"/>
        <v>217485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899965.91005288903</v>
      </c>
      <c r="E53" s="484">
        <f t="shared" si="13"/>
        <v>120459</v>
      </c>
      <c r="F53" s="485">
        <f t="shared" si="14"/>
        <v>779506.91005288903</v>
      </c>
      <c r="G53" s="486">
        <f t="shared" si="15"/>
        <v>204499</v>
      </c>
      <c r="H53" s="455">
        <f t="shared" si="16"/>
        <v>204499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779506.91005288903</v>
      </c>
      <c r="E54" s="484">
        <f t="shared" si="13"/>
        <v>120459</v>
      </c>
      <c r="F54" s="485">
        <f t="shared" si="14"/>
        <v>659047.91005288903</v>
      </c>
      <c r="G54" s="486">
        <f t="shared" si="15"/>
        <v>191512</v>
      </c>
      <c r="H54" s="455">
        <f t="shared" si="16"/>
        <v>191512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659047.91005288903</v>
      </c>
      <c r="E55" s="484">
        <f t="shared" si="13"/>
        <v>120459</v>
      </c>
      <c r="F55" s="485">
        <f t="shared" si="14"/>
        <v>538588.91005288903</v>
      </c>
      <c r="G55" s="486">
        <f t="shared" si="15"/>
        <v>178525</v>
      </c>
      <c r="H55" s="455">
        <f t="shared" si="16"/>
        <v>178525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538588.91005288903</v>
      </c>
      <c r="E56" s="484">
        <f t="shared" si="13"/>
        <v>120459</v>
      </c>
      <c r="F56" s="485">
        <f t="shared" si="14"/>
        <v>418129.91005288903</v>
      </c>
      <c r="G56" s="486">
        <f t="shared" si="15"/>
        <v>165538</v>
      </c>
      <c r="H56" s="455">
        <f t="shared" si="16"/>
        <v>165538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418129.91005288903</v>
      </c>
      <c r="E57" s="484">
        <f t="shared" si="13"/>
        <v>120459</v>
      </c>
      <c r="F57" s="485">
        <f t="shared" si="14"/>
        <v>297670.91005288903</v>
      </c>
      <c r="G57" s="486">
        <f t="shared" si="15"/>
        <v>152551</v>
      </c>
      <c r="H57" s="455">
        <f t="shared" si="16"/>
        <v>152551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297670.91005288903</v>
      </c>
      <c r="E58" s="484">
        <f t="shared" si="13"/>
        <v>120459</v>
      </c>
      <c r="F58" s="485">
        <f t="shared" si="14"/>
        <v>177211.91005288903</v>
      </c>
      <c r="G58" s="486">
        <f t="shared" si="15"/>
        <v>139564</v>
      </c>
      <c r="H58" s="455">
        <f t="shared" si="16"/>
        <v>139564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177211.91005288903</v>
      </c>
      <c r="E59" s="484">
        <f t="shared" si="13"/>
        <v>120459</v>
      </c>
      <c r="F59" s="485">
        <f t="shared" si="14"/>
        <v>56752.910052889027</v>
      </c>
      <c r="G59" s="486">
        <f t="shared" si="15"/>
        <v>126578</v>
      </c>
      <c r="H59" s="455">
        <f t="shared" si="16"/>
        <v>126578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56752.910052889027</v>
      </c>
      <c r="E60" s="484">
        <f t="shared" si="13"/>
        <v>56752.910052889027</v>
      </c>
      <c r="F60" s="485">
        <f t="shared" si="14"/>
        <v>0</v>
      </c>
      <c r="G60" s="486">
        <f t="shared" si="15"/>
        <v>56752.910052889027</v>
      </c>
      <c r="H60" s="455">
        <f t="shared" si="16"/>
        <v>56752.910052889027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.5" thickBot="1">
      <c r="B72" s="160" t="str">
        <f t="shared" si="3"/>
        <v/>
      </c>
      <c r="C72" s="489">
        <f>IF(D11="","-",+C71+1)</f>
        <v>2069</v>
      </c>
      <c r="D72" s="485">
        <f>IF(F71+SUM(E$17:E71)=D$10,F71,D$10-SUM(E$17:E71))</f>
        <v>0</v>
      </c>
      <c r="E72" s="484">
        <f t="shared" si="13"/>
        <v>0</v>
      </c>
      <c r="F72" s="485">
        <f t="shared" si="14"/>
        <v>0</v>
      </c>
      <c r="G72" s="486">
        <f t="shared" si="15"/>
        <v>0</v>
      </c>
      <c r="H72" s="455">
        <f t="shared" si="16"/>
        <v>0</v>
      </c>
      <c r="I72" s="475">
        <f t="shared" si="4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>
      <c r="C73" s="346" t="s">
        <v>77</v>
      </c>
      <c r="D73" s="347"/>
      <c r="E73" s="347">
        <f>SUM(E17:E72)</f>
        <v>5059277.9999999991</v>
      </c>
      <c r="F73" s="347"/>
      <c r="G73" s="347">
        <f>SUM(G17:G72)</f>
        <v>17706074.469398871</v>
      </c>
      <c r="H73" s="347">
        <f>SUM(H17:H72)</f>
        <v>17706074.469398871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16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602674.25524940272</v>
      </c>
      <c r="N87" s="508">
        <f>IF(J92&lt;D11,0,VLOOKUP(J92,C17:O72,11))</f>
        <v>602674.25524940272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629796.85800289037</v>
      </c>
      <c r="N88" s="512">
        <f>IF(J92&lt;D11,0,VLOOKUP(J92,C99:P154,7))</f>
        <v>629796.85800289037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Cornville Station Conversion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27122.602753487648</v>
      </c>
      <c r="N89" s="517">
        <f>+N88-N87</f>
        <v>27122.602753487648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TP2011093</v>
      </c>
      <c r="E91" s="522" t="str">
        <f>E9</f>
        <v xml:space="preserve">  SPP Project ID = 30346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5059278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120459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>
        <v>0</v>
      </c>
      <c r="E99" s="585">
        <v>0</v>
      </c>
      <c r="F99" s="586">
        <v>4992922.66</v>
      </c>
      <c r="G99" s="605">
        <v>2496461.33</v>
      </c>
      <c r="H99" s="606">
        <v>350992.25806989282</v>
      </c>
      <c r="I99" s="607">
        <v>350992.25806989282</v>
      </c>
      <c r="J99" s="478">
        <v>0</v>
      </c>
      <c r="K99" s="478"/>
      <c r="L99" s="476">
        <f t="shared" ref="L99:L105" si="18">H99</f>
        <v>350992.25806989282</v>
      </c>
      <c r="M99" s="348">
        <f t="shared" ref="M99:M105" si="19">IF(L99&lt;&gt;0,+H99-L99,0)</f>
        <v>0</v>
      </c>
      <c r="N99" s="476">
        <f t="shared" ref="N99:N105" si="20">I99</f>
        <v>350992.25806989282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84">
        <v>5071338</v>
      </c>
      <c r="E100" s="585">
        <v>97526</v>
      </c>
      <c r="F100" s="586">
        <v>4973812</v>
      </c>
      <c r="G100" s="586">
        <v>5022575</v>
      </c>
      <c r="H100" s="606">
        <v>782815.97525692882</v>
      </c>
      <c r="I100" s="607">
        <v>782815.97525692882</v>
      </c>
      <c r="J100" s="478">
        <f>+I100-H100</f>
        <v>0</v>
      </c>
      <c r="K100" s="478"/>
      <c r="L100" s="476">
        <f t="shared" si="18"/>
        <v>782815.97525692882</v>
      </c>
      <c r="M100" s="348">
        <f t="shared" si="19"/>
        <v>0</v>
      </c>
      <c r="N100" s="476">
        <f t="shared" si="20"/>
        <v>782815.97525692882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>IU</v>
      </c>
      <c r="C101" s="472">
        <f>IF(D93="","-",+C100+1)</f>
        <v>2016</v>
      </c>
      <c r="D101" s="584">
        <v>4961752</v>
      </c>
      <c r="E101" s="585">
        <v>109984</v>
      </c>
      <c r="F101" s="586">
        <v>4851768</v>
      </c>
      <c r="G101" s="586">
        <v>4906760</v>
      </c>
      <c r="H101" s="606">
        <v>742542.63994670648</v>
      </c>
      <c r="I101" s="607">
        <v>742542.63994670648</v>
      </c>
      <c r="J101" s="478">
        <f t="shared" ref="J101:J154" si="22">+I101-H101</f>
        <v>0</v>
      </c>
      <c r="K101" s="478"/>
      <c r="L101" s="476">
        <f t="shared" si="18"/>
        <v>742542.63994670648</v>
      </c>
      <c r="M101" s="348">
        <f t="shared" si="19"/>
        <v>0</v>
      </c>
      <c r="N101" s="476">
        <f t="shared" si="20"/>
        <v>742542.63994670648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84">
        <v>4851768</v>
      </c>
      <c r="E102" s="585">
        <v>109984</v>
      </c>
      <c r="F102" s="586">
        <v>4741784</v>
      </c>
      <c r="G102" s="586">
        <v>4796776</v>
      </c>
      <c r="H102" s="606">
        <v>718467.13067498105</v>
      </c>
      <c r="I102" s="607">
        <v>718467.13067498105</v>
      </c>
      <c r="J102" s="478">
        <f t="shared" si="22"/>
        <v>0</v>
      </c>
      <c r="K102" s="478"/>
      <c r="L102" s="476">
        <f t="shared" si="18"/>
        <v>718467.13067498105</v>
      </c>
      <c r="M102" s="348">
        <f t="shared" si="19"/>
        <v>0</v>
      </c>
      <c r="N102" s="476">
        <f t="shared" si="20"/>
        <v>718467.13067498105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84">
        <v>4741784</v>
      </c>
      <c r="E103" s="585">
        <v>117658</v>
      </c>
      <c r="F103" s="586">
        <v>4624126</v>
      </c>
      <c r="G103" s="586">
        <v>4682955</v>
      </c>
      <c r="H103" s="606">
        <v>598764.03634994966</v>
      </c>
      <c r="I103" s="607">
        <v>598764.03634994966</v>
      </c>
      <c r="J103" s="478">
        <f t="shared" si="22"/>
        <v>0</v>
      </c>
      <c r="K103" s="478"/>
      <c r="L103" s="476">
        <f t="shared" si="18"/>
        <v>598764.03634994966</v>
      </c>
      <c r="M103" s="348">
        <f t="shared" si="19"/>
        <v>0</v>
      </c>
      <c r="N103" s="476">
        <f t="shared" si="20"/>
        <v>598764.03634994966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84">
        <v>4624126</v>
      </c>
      <c r="E104" s="585">
        <v>123397</v>
      </c>
      <c r="F104" s="586">
        <v>4500729</v>
      </c>
      <c r="G104" s="586">
        <v>4562427.5</v>
      </c>
      <c r="H104" s="606">
        <v>593847.268225985</v>
      </c>
      <c r="I104" s="607">
        <v>593847.268225985</v>
      </c>
      <c r="J104" s="478">
        <f t="shared" si="22"/>
        <v>0</v>
      </c>
      <c r="K104" s="478"/>
      <c r="L104" s="476">
        <f t="shared" si="18"/>
        <v>593847.268225985</v>
      </c>
      <c r="M104" s="348">
        <f t="shared" si="19"/>
        <v>0</v>
      </c>
      <c r="N104" s="476">
        <f t="shared" si="20"/>
        <v>593847.268225985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84">
        <v>4500729</v>
      </c>
      <c r="E105" s="585">
        <v>117658</v>
      </c>
      <c r="F105" s="586">
        <v>4383071</v>
      </c>
      <c r="G105" s="586">
        <v>4441900</v>
      </c>
      <c r="H105" s="606">
        <v>629796.85800289037</v>
      </c>
      <c r="I105" s="607">
        <v>629796.85800289037</v>
      </c>
      <c r="J105" s="478">
        <f t="shared" si="22"/>
        <v>0</v>
      </c>
      <c r="K105" s="478"/>
      <c r="L105" s="476">
        <f t="shared" si="18"/>
        <v>629796.85800289037</v>
      </c>
      <c r="M105" s="348">
        <f t="shared" si="19"/>
        <v>0</v>
      </c>
      <c r="N105" s="476">
        <f t="shared" si="20"/>
        <v>629796.85800289037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6">
        <f>IF(F105+SUM(E$99:E105)=D$92,F105,D$92-SUM(E$99:E105))</f>
        <v>4383071</v>
      </c>
      <c r="E106" s="484">
        <f t="shared" ref="E106:E154" si="25">IF(+J$96&lt;F105,J$96,D106)</f>
        <v>120459</v>
      </c>
      <c r="F106" s="485">
        <f t="shared" ref="F106:F154" si="26">+D106-E106</f>
        <v>4262612</v>
      </c>
      <c r="G106" s="485">
        <f t="shared" ref="G106:G154" si="27">+(F106+D106)/2</f>
        <v>4322841.5</v>
      </c>
      <c r="H106" s="488">
        <f t="shared" ref="H106:H154" si="28">+J$94*G106+E106</f>
        <v>586509.92754228925</v>
      </c>
      <c r="I106" s="542">
        <f t="shared" ref="I106:I154" si="29">+J$95*G106+E106</f>
        <v>586509.92754228925</v>
      </c>
      <c r="J106" s="478">
        <f t="shared" si="22"/>
        <v>0</v>
      </c>
      <c r="K106" s="478"/>
      <c r="L106" s="487"/>
      <c r="M106" s="478">
        <f t="shared" ref="M106:M130" si="30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6">
        <f>IF(F106+SUM(E$99:E106)=D$92,F106,D$92-SUM(E$99:E106))</f>
        <v>4262612</v>
      </c>
      <c r="E107" s="484">
        <f t="shared" si="25"/>
        <v>120459</v>
      </c>
      <c r="F107" s="485">
        <f t="shared" si="26"/>
        <v>4142153</v>
      </c>
      <c r="G107" s="485">
        <f t="shared" si="27"/>
        <v>4202382.5</v>
      </c>
      <c r="H107" s="488">
        <f t="shared" si="28"/>
        <v>573523.09268359351</v>
      </c>
      <c r="I107" s="542">
        <f t="shared" si="29"/>
        <v>573523.09268359351</v>
      </c>
      <c r="J107" s="478">
        <f t="shared" si="22"/>
        <v>0</v>
      </c>
      <c r="K107" s="478"/>
      <c r="L107" s="487"/>
      <c r="M107" s="478">
        <f t="shared" si="30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6">
        <f>IF(F107+SUM(E$99:E107)=D$92,F107,D$92-SUM(E$99:E107))</f>
        <v>4142153</v>
      </c>
      <c r="E108" s="484">
        <f t="shared" si="25"/>
        <v>120459</v>
      </c>
      <c r="F108" s="485">
        <f t="shared" si="26"/>
        <v>4021694</v>
      </c>
      <c r="G108" s="485">
        <f t="shared" si="27"/>
        <v>4081923.5</v>
      </c>
      <c r="H108" s="488">
        <f t="shared" si="28"/>
        <v>560536.25782489765</v>
      </c>
      <c r="I108" s="542">
        <f t="shared" si="29"/>
        <v>560536.25782489765</v>
      </c>
      <c r="J108" s="478">
        <f t="shared" si="22"/>
        <v>0</v>
      </c>
      <c r="K108" s="478"/>
      <c r="L108" s="487"/>
      <c r="M108" s="478">
        <f t="shared" si="30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6">
        <f>IF(F108+SUM(E$99:E108)=D$92,F108,D$92-SUM(E$99:E108))</f>
        <v>4021694</v>
      </c>
      <c r="E109" s="484">
        <f t="shared" si="25"/>
        <v>120459</v>
      </c>
      <c r="F109" s="485">
        <f t="shared" si="26"/>
        <v>3901235</v>
      </c>
      <c r="G109" s="485">
        <f t="shared" si="27"/>
        <v>3961464.5</v>
      </c>
      <c r="H109" s="488">
        <f t="shared" si="28"/>
        <v>547549.42296620191</v>
      </c>
      <c r="I109" s="542">
        <f t="shared" si="29"/>
        <v>547549.42296620191</v>
      </c>
      <c r="J109" s="478">
        <f t="shared" si="22"/>
        <v>0</v>
      </c>
      <c r="K109" s="478"/>
      <c r="L109" s="487"/>
      <c r="M109" s="478">
        <f t="shared" si="30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6">
        <f>IF(F109+SUM(E$99:E109)=D$92,F109,D$92-SUM(E$99:E109))</f>
        <v>3901235</v>
      </c>
      <c r="E110" s="484">
        <f t="shared" si="25"/>
        <v>120459</v>
      </c>
      <c r="F110" s="485">
        <f t="shared" si="26"/>
        <v>3780776</v>
      </c>
      <c r="G110" s="485">
        <f t="shared" si="27"/>
        <v>3841005.5</v>
      </c>
      <c r="H110" s="488">
        <f t="shared" si="28"/>
        <v>534562.58810750616</v>
      </c>
      <c r="I110" s="542">
        <f t="shared" si="29"/>
        <v>534562.58810750616</v>
      </c>
      <c r="J110" s="478">
        <f t="shared" si="22"/>
        <v>0</v>
      </c>
      <c r="K110" s="478"/>
      <c r="L110" s="487"/>
      <c r="M110" s="478">
        <f t="shared" si="30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6">
        <f>IF(F110+SUM(E$99:E110)=D$92,F110,D$92-SUM(E$99:E110))</f>
        <v>3780776</v>
      </c>
      <c r="E111" s="484">
        <f t="shared" si="25"/>
        <v>120459</v>
      </c>
      <c r="F111" s="485">
        <f t="shared" si="26"/>
        <v>3660317</v>
      </c>
      <c r="G111" s="485">
        <f t="shared" si="27"/>
        <v>3720546.5</v>
      </c>
      <c r="H111" s="488">
        <f t="shared" si="28"/>
        <v>521575.75324881042</v>
      </c>
      <c r="I111" s="542">
        <f t="shared" si="29"/>
        <v>521575.75324881042</v>
      </c>
      <c r="J111" s="478">
        <f t="shared" si="22"/>
        <v>0</v>
      </c>
      <c r="K111" s="478"/>
      <c r="L111" s="487"/>
      <c r="M111" s="478">
        <f t="shared" si="30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6">
        <f>IF(F111+SUM(E$99:E111)=D$92,F111,D$92-SUM(E$99:E111))</f>
        <v>3660317</v>
      </c>
      <c r="E112" s="484">
        <f t="shared" si="25"/>
        <v>120459</v>
      </c>
      <c r="F112" s="485">
        <f t="shared" si="26"/>
        <v>3539858</v>
      </c>
      <c r="G112" s="485">
        <f t="shared" si="27"/>
        <v>3600087.5</v>
      </c>
      <c r="H112" s="488">
        <f t="shared" si="28"/>
        <v>508588.91839011468</v>
      </c>
      <c r="I112" s="542">
        <f t="shared" si="29"/>
        <v>508588.91839011468</v>
      </c>
      <c r="J112" s="478">
        <f t="shared" si="22"/>
        <v>0</v>
      </c>
      <c r="K112" s="478"/>
      <c r="L112" s="487"/>
      <c r="M112" s="478">
        <f t="shared" si="30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6">
        <f>IF(F112+SUM(E$99:E112)=D$92,F112,D$92-SUM(E$99:E112))</f>
        <v>3539858</v>
      </c>
      <c r="E113" s="484">
        <f t="shared" si="25"/>
        <v>120459</v>
      </c>
      <c r="F113" s="485">
        <f t="shared" si="26"/>
        <v>3419399</v>
      </c>
      <c r="G113" s="485">
        <f t="shared" si="27"/>
        <v>3479628.5</v>
      </c>
      <c r="H113" s="488">
        <f t="shared" si="28"/>
        <v>495602.08353141893</v>
      </c>
      <c r="I113" s="542">
        <f t="shared" si="29"/>
        <v>495602.08353141893</v>
      </c>
      <c r="J113" s="478">
        <f t="shared" si="22"/>
        <v>0</v>
      </c>
      <c r="K113" s="478"/>
      <c r="L113" s="487"/>
      <c r="M113" s="478">
        <f t="shared" si="30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6">
        <f>IF(F113+SUM(E$99:E113)=D$92,F113,D$92-SUM(E$99:E113))</f>
        <v>3419399</v>
      </c>
      <c r="E114" s="484">
        <f t="shared" si="25"/>
        <v>120459</v>
      </c>
      <c r="F114" s="485">
        <f t="shared" si="26"/>
        <v>3298940</v>
      </c>
      <c r="G114" s="485">
        <f t="shared" si="27"/>
        <v>3359169.5</v>
      </c>
      <c r="H114" s="488">
        <f t="shared" si="28"/>
        <v>482615.24867272319</v>
      </c>
      <c r="I114" s="542">
        <f t="shared" si="29"/>
        <v>482615.24867272319</v>
      </c>
      <c r="J114" s="478">
        <f t="shared" si="22"/>
        <v>0</v>
      </c>
      <c r="K114" s="478"/>
      <c r="L114" s="487"/>
      <c r="M114" s="478">
        <f t="shared" si="30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6">
        <f>IF(F114+SUM(E$99:E114)=D$92,F114,D$92-SUM(E$99:E114))</f>
        <v>3298940</v>
      </c>
      <c r="E115" s="484">
        <f t="shared" si="25"/>
        <v>120459</v>
      </c>
      <c r="F115" s="485">
        <f t="shared" si="26"/>
        <v>3178481</v>
      </c>
      <c r="G115" s="485">
        <f t="shared" si="27"/>
        <v>3238710.5</v>
      </c>
      <c r="H115" s="488">
        <f t="shared" si="28"/>
        <v>469628.41381402744</v>
      </c>
      <c r="I115" s="542">
        <f t="shared" si="29"/>
        <v>469628.41381402744</v>
      </c>
      <c r="J115" s="478">
        <f t="shared" si="22"/>
        <v>0</v>
      </c>
      <c r="K115" s="478"/>
      <c r="L115" s="487"/>
      <c r="M115" s="478">
        <f t="shared" si="30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6">
        <f>IF(F115+SUM(E$99:E115)=D$92,F115,D$92-SUM(E$99:E115))</f>
        <v>3178481</v>
      </c>
      <c r="E116" s="484">
        <f t="shared" si="25"/>
        <v>120459</v>
      </c>
      <c r="F116" s="485">
        <f t="shared" si="26"/>
        <v>3058022</v>
      </c>
      <c r="G116" s="485">
        <f t="shared" si="27"/>
        <v>3118251.5</v>
      </c>
      <c r="H116" s="488">
        <f t="shared" si="28"/>
        <v>456641.5789553317</v>
      </c>
      <c r="I116" s="542">
        <f t="shared" si="29"/>
        <v>456641.5789553317</v>
      </c>
      <c r="J116" s="478">
        <f t="shared" si="22"/>
        <v>0</v>
      </c>
      <c r="K116" s="478"/>
      <c r="L116" s="487"/>
      <c r="M116" s="478">
        <f t="shared" si="30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6">
        <f>IF(F116+SUM(E$99:E116)=D$92,F116,D$92-SUM(E$99:E116))</f>
        <v>3058022</v>
      </c>
      <c r="E117" s="484">
        <f t="shared" si="25"/>
        <v>120459</v>
      </c>
      <c r="F117" s="485">
        <f t="shared" si="26"/>
        <v>2937563</v>
      </c>
      <c r="G117" s="485">
        <f t="shared" si="27"/>
        <v>2997792.5</v>
      </c>
      <c r="H117" s="488">
        <f t="shared" si="28"/>
        <v>443654.74409663596</v>
      </c>
      <c r="I117" s="542">
        <f t="shared" si="29"/>
        <v>443654.74409663596</v>
      </c>
      <c r="J117" s="478">
        <f t="shared" si="22"/>
        <v>0</v>
      </c>
      <c r="K117" s="478"/>
      <c r="L117" s="487"/>
      <c r="M117" s="478">
        <f t="shared" si="30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6">
        <f>IF(F117+SUM(E$99:E117)=D$92,F117,D$92-SUM(E$99:E117))</f>
        <v>2937563</v>
      </c>
      <c r="E118" s="484">
        <f t="shared" si="25"/>
        <v>120459</v>
      </c>
      <c r="F118" s="485">
        <f t="shared" si="26"/>
        <v>2817104</v>
      </c>
      <c r="G118" s="485">
        <f t="shared" si="27"/>
        <v>2877333.5</v>
      </c>
      <c r="H118" s="488">
        <f t="shared" si="28"/>
        <v>430667.90923794021</v>
      </c>
      <c r="I118" s="542">
        <f t="shared" si="29"/>
        <v>430667.90923794021</v>
      </c>
      <c r="J118" s="478">
        <f t="shared" si="22"/>
        <v>0</v>
      </c>
      <c r="K118" s="478"/>
      <c r="L118" s="487"/>
      <c r="M118" s="478">
        <f t="shared" si="30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6">
        <f>IF(F118+SUM(E$99:E118)=D$92,F118,D$92-SUM(E$99:E118))</f>
        <v>2817104</v>
      </c>
      <c r="E119" s="484">
        <f t="shared" si="25"/>
        <v>120459</v>
      </c>
      <c r="F119" s="485">
        <f t="shared" si="26"/>
        <v>2696645</v>
      </c>
      <c r="G119" s="485">
        <f t="shared" si="27"/>
        <v>2756874.5</v>
      </c>
      <c r="H119" s="488">
        <f t="shared" si="28"/>
        <v>417681.07437924447</v>
      </c>
      <c r="I119" s="542">
        <f t="shared" si="29"/>
        <v>417681.07437924447</v>
      </c>
      <c r="J119" s="478">
        <f t="shared" si="22"/>
        <v>0</v>
      </c>
      <c r="K119" s="478"/>
      <c r="L119" s="487"/>
      <c r="M119" s="478">
        <f t="shared" si="30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6">
        <f>IF(F119+SUM(E$99:E119)=D$92,F119,D$92-SUM(E$99:E119))</f>
        <v>2696645</v>
      </c>
      <c r="E120" s="484">
        <f t="shared" si="25"/>
        <v>120459</v>
      </c>
      <c r="F120" s="485">
        <f t="shared" si="26"/>
        <v>2576186</v>
      </c>
      <c r="G120" s="485">
        <f t="shared" si="27"/>
        <v>2636415.5</v>
      </c>
      <c r="H120" s="488">
        <f t="shared" si="28"/>
        <v>404694.23952054873</v>
      </c>
      <c r="I120" s="542">
        <f t="shared" si="29"/>
        <v>404694.23952054873</v>
      </c>
      <c r="J120" s="478">
        <f t="shared" si="22"/>
        <v>0</v>
      </c>
      <c r="K120" s="478"/>
      <c r="L120" s="487"/>
      <c r="M120" s="478">
        <f t="shared" si="30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6">
        <f>IF(F120+SUM(E$99:E120)=D$92,F120,D$92-SUM(E$99:E120))</f>
        <v>2576186</v>
      </c>
      <c r="E121" s="484">
        <f t="shared" si="25"/>
        <v>120459</v>
      </c>
      <c r="F121" s="485">
        <f t="shared" si="26"/>
        <v>2455727</v>
      </c>
      <c r="G121" s="485">
        <f t="shared" si="27"/>
        <v>2515956.5</v>
      </c>
      <c r="H121" s="488">
        <f t="shared" si="28"/>
        <v>391707.40466185298</v>
      </c>
      <c r="I121" s="542">
        <f t="shared" si="29"/>
        <v>391707.40466185298</v>
      </c>
      <c r="J121" s="478">
        <f t="shared" si="22"/>
        <v>0</v>
      </c>
      <c r="K121" s="478"/>
      <c r="L121" s="487"/>
      <c r="M121" s="478">
        <f t="shared" si="30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6">
        <f>IF(F121+SUM(E$99:E121)=D$92,F121,D$92-SUM(E$99:E121))</f>
        <v>2455727</v>
      </c>
      <c r="E122" s="484">
        <f t="shared" si="25"/>
        <v>120459</v>
      </c>
      <c r="F122" s="485">
        <f t="shared" si="26"/>
        <v>2335268</v>
      </c>
      <c r="G122" s="485">
        <f t="shared" si="27"/>
        <v>2395497.5</v>
      </c>
      <c r="H122" s="488">
        <f t="shared" si="28"/>
        <v>378720.56980315724</v>
      </c>
      <c r="I122" s="542">
        <f t="shared" si="29"/>
        <v>378720.56980315724</v>
      </c>
      <c r="J122" s="478">
        <f t="shared" si="22"/>
        <v>0</v>
      </c>
      <c r="K122" s="478"/>
      <c r="L122" s="487"/>
      <c r="M122" s="478">
        <f t="shared" si="30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6">
        <f>IF(F122+SUM(E$99:E122)=D$92,F122,D$92-SUM(E$99:E122))</f>
        <v>2335268</v>
      </c>
      <c r="E123" s="484">
        <f t="shared" si="25"/>
        <v>120459</v>
      </c>
      <c r="F123" s="485">
        <f t="shared" si="26"/>
        <v>2214809</v>
      </c>
      <c r="G123" s="485">
        <f t="shared" si="27"/>
        <v>2275038.5</v>
      </c>
      <c r="H123" s="488">
        <f t="shared" si="28"/>
        <v>365733.7349444615</v>
      </c>
      <c r="I123" s="542">
        <f t="shared" si="29"/>
        <v>365733.7349444615</v>
      </c>
      <c r="J123" s="478">
        <f t="shared" si="22"/>
        <v>0</v>
      </c>
      <c r="K123" s="478"/>
      <c r="L123" s="487"/>
      <c r="M123" s="478">
        <f t="shared" si="30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6">
        <f>IF(F123+SUM(E$99:E123)=D$92,F123,D$92-SUM(E$99:E123))</f>
        <v>2214809</v>
      </c>
      <c r="E124" s="484">
        <f t="shared" si="25"/>
        <v>120459</v>
      </c>
      <c r="F124" s="485">
        <f t="shared" si="26"/>
        <v>2094350</v>
      </c>
      <c r="G124" s="485">
        <f t="shared" si="27"/>
        <v>2154579.5</v>
      </c>
      <c r="H124" s="488">
        <f t="shared" si="28"/>
        <v>352746.90008576575</v>
      </c>
      <c r="I124" s="542">
        <f t="shared" si="29"/>
        <v>352746.90008576575</v>
      </c>
      <c r="J124" s="478">
        <f t="shared" si="22"/>
        <v>0</v>
      </c>
      <c r="K124" s="478"/>
      <c r="L124" s="487"/>
      <c r="M124" s="478">
        <f t="shared" si="30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6">
        <f>IF(F124+SUM(E$99:E124)=D$92,F124,D$92-SUM(E$99:E124))</f>
        <v>2094350</v>
      </c>
      <c r="E125" s="484">
        <f t="shared" si="25"/>
        <v>120459</v>
      </c>
      <c r="F125" s="485">
        <f t="shared" si="26"/>
        <v>1973891</v>
      </c>
      <c r="G125" s="485">
        <f t="shared" si="27"/>
        <v>2034120.5</v>
      </c>
      <c r="H125" s="488">
        <f t="shared" si="28"/>
        <v>339760.06522707001</v>
      </c>
      <c r="I125" s="542">
        <f t="shared" si="29"/>
        <v>339760.06522707001</v>
      </c>
      <c r="J125" s="478">
        <f t="shared" si="22"/>
        <v>0</v>
      </c>
      <c r="K125" s="478"/>
      <c r="L125" s="487"/>
      <c r="M125" s="478">
        <f t="shared" si="30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6">
        <f>IF(F125+SUM(E$99:E125)=D$92,F125,D$92-SUM(E$99:E125))</f>
        <v>1973891</v>
      </c>
      <c r="E126" s="484">
        <f t="shared" si="25"/>
        <v>120459</v>
      </c>
      <c r="F126" s="485">
        <f t="shared" si="26"/>
        <v>1853432</v>
      </c>
      <c r="G126" s="485">
        <f t="shared" si="27"/>
        <v>1913661.5</v>
      </c>
      <c r="H126" s="488">
        <f t="shared" si="28"/>
        <v>326773.23036837426</v>
      </c>
      <c r="I126" s="542">
        <f t="shared" si="29"/>
        <v>326773.23036837426</v>
      </c>
      <c r="J126" s="478">
        <f t="shared" si="22"/>
        <v>0</v>
      </c>
      <c r="K126" s="478"/>
      <c r="L126" s="487"/>
      <c r="M126" s="478">
        <f t="shared" si="30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6">
        <f>IF(F126+SUM(E$99:E126)=D$92,F126,D$92-SUM(E$99:E126))</f>
        <v>1853432</v>
      </c>
      <c r="E127" s="484">
        <f t="shared" si="25"/>
        <v>120459</v>
      </c>
      <c r="F127" s="485">
        <f t="shared" si="26"/>
        <v>1732973</v>
      </c>
      <c r="G127" s="485">
        <f t="shared" si="27"/>
        <v>1793202.5</v>
      </c>
      <c r="H127" s="488">
        <f t="shared" si="28"/>
        <v>313786.39550967852</v>
      </c>
      <c r="I127" s="542">
        <f t="shared" si="29"/>
        <v>313786.39550967852</v>
      </c>
      <c r="J127" s="478">
        <f t="shared" si="22"/>
        <v>0</v>
      </c>
      <c r="K127" s="478"/>
      <c r="L127" s="487"/>
      <c r="M127" s="478">
        <f t="shared" si="30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6">
        <f>IF(F127+SUM(E$99:E127)=D$92,F127,D$92-SUM(E$99:E127))</f>
        <v>1732973</v>
      </c>
      <c r="E128" s="484">
        <f t="shared" si="25"/>
        <v>120459</v>
      </c>
      <c r="F128" s="485">
        <f t="shared" si="26"/>
        <v>1612514</v>
      </c>
      <c r="G128" s="485">
        <f t="shared" si="27"/>
        <v>1672743.5</v>
      </c>
      <c r="H128" s="488">
        <f t="shared" si="28"/>
        <v>300799.56065098278</v>
      </c>
      <c r="I128" s="542">
        <f t="shared" si="29"/>
        <v>300799.56065098278</v>
      </c>
      <c r="J128" s="478">
        <f t="shared" si="22"/>
        <v>0</v>
      </c>
      <c r="K128" s="478"/>
      <c r="L128" s="487"/>
      <c r="M128" s="478">
        <f t="shared" si="30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6">
        <f>IF(F128+SUM(E$99:E128)=D$92,F128,D$92-SUM(E$99:E128))</f>
        <v>1612514</v>
      </c>
      <c r="E129" s="484">
        <f t="shared" si="25"/>
        <v>120459</v>
      </c>
      <c r="F129" s="485">
        <f t="shared" si="26"/>
        <v>1492055</v>
      </c>
      <c r="G129" s="485">
        <f t="shared" si="27"/>
        <v>1552284.5</v>
      </c>
      <c r="H129" s="488">
        <f t="shared" si="28"/>
        <v>287812.72579228698</v>
      </c>
      <c r="I129" s="542">
        <f t="shared" si="29"/>
        <v>287812.72579228698</v>
      </c>
      <c r="J129" s="478">
        <f t="shared" si="22"/>
        <v>0</v>
      </c>
      <c r="K129" s="478"/>
      <c r="L129" s="487"/>
      <c r="M129" s="478">
        <f t="shared" si="30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6">
        <f>IF(F129+SUM(E$99:E129)=D$92,F129,D$92-SUM(E$99:E129))</f>
        <v>1492055</v>
      </c>
      <c r="E130" s="484">
        <f t="shared" si="25"/>
        <v>120459</v>
      </c>
      <c r="F130" s="485">
        <f t="shared" si="26"/>
        <v>1371596</v>
      </c>
      <c r="G130" s="485">
        <f t="shared" si="27"/>
        <v>1431825.5</v>
      </c>
      <c r="H130" s="488">
        <f t="shared" si="28"/>
        <v>274825.89093359123</v>
      </c>
      <c r="I130" s="542">
        <f t="shared" si="29"/>
        <v>274825.89093359123</v>
      </c>
      <c r="J130" s="478">
        <f t="shared" si="22"/>
        <v>0</v>
      </c>
      <c r="K130" s="478"/>
      <c r="L130" s="487"/>
      <c r="M130" s="478">
        <f t="shared" si="30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6">
        <f>IF(F130+SUM(E$99:E130)=D$92,F130,D$92-SUM(E$99:E130))</f>
        <v>1371596</v>
      </c>
      <c r="E131" s="484">
        <f t="shared" si="25"/>
        <v>120459</v>
      </c>
      <c r="F131" s="485">
        <f t="shared" si="26"/>
        <v>1251137</v>
      </c>
      <c r="G131" s="485">
        <f t="shared" si="27"/>
        <v>1311366.5</v>
      </c>
      <c r="H131" s="488">
        <f t="shared" si="28"/>
        <v>261839.05607489549</v>
      </c>
      <c r="I131" s="542">
        <f t="shared" si="29"/>
        <v>261839.05607489549</v>
      </c>
      <c r="J131" s="478">
        <f t="shared" si="22"/>
        <v>0</v>
      </c>
      <c r="K131" s="478"/>
      <c r="L131" s="487"/>
      <c r="M131" s="478">
        <f t="shared" ref="M131:M154" si="31">IF(L541&lt;&gt;0,+H541-L541,0)</f>
        <v>0</v>
      </c>
      <c r="N131" s="487"/>
      <c r="O131" s="478">
        <f t="shared" ref="O131:O154" si="32">IF(N541&lt;&gt;0,+I541-N541,0)</f>
        <v>0</v>
      </c>
      <c r="P131" s="478">
        <f t="shared" ref="P131:P154" si="33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6">
        <f>IF(F131+SUM(E$99:E131)=D$92,F131,D$92-SUM(E$99:E131))</f>
        <v>1251137</v>
      </c>
      <c r="E132" s="484">
        <f t="shared" si="25"/>
        <v>120459</v>
      </c>
      <c r="F132" s="485">
        <f t="shared" si="26"/>
        <v>1130678</v>
      </c>
      <c r="G132" s="485">
        <f t="shared" si="27"/>
        <v>1190907.5</v>
      </c>
      <c r="H132" s="488">
        <f t="shared" si="28"/>
        <v>248852.22121619974</v>
      </c>
      <c r="I132" s="542">
        <f t="shared" si="29"/>
        <v>248852.22121619974</v>
      </c>
      <c r="J132" s="478">
        <f t="shared" si="22"/>
        <v>0</v>
      </c>
      <c r="K132" s="478"/>
      <c r="L132" s="487"/>
      <c r="M132" s="478">
        <f t="shared" si="31"/>
        <v>0</v>
      </c>
      <c r="N132" s="487"/>
      <c r="O132" s="478">
        <f t="shared" si="32"/>
        <v>0</v>
      </c>
      <c r="P132" s="478">
        <f t="shared" si="33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6">
        <f>IF(F132+SUM(E$99:E132)=D$92,F132,D$92-SUM(E$99:E132))</f>
        <v>1130678</v>
      </c>
      <c r="E133" s="484">
        <f t="shared" si="25"/>
        <v>120459</v>
      </c>
      <c r="F133" s="485">
        <f t="shared" si="26"/>
        <v>1010219</v>
      </c>
      <c r="G133" s="485">
        <f t="shared" si="27"/>
        <v>1070448.5</v>
      </c>
      <c r="H133" s="488">
        <f t="shared" si="28"/>
        <v>235865.386357504</v>
      </c>
      <c r="I133" s="542">
        <f t="shared" si="29"/>
        <v>235865.386357504</v>
      </c>
      <c r="J133" s="478">
        <f t="shared" si="22"/>
        <v>0</v>
      </c>
      <c r="K133" s="478"/>
      <c r="L133" s="487"/>
      <c r="M133" s="478">
        <f t="shared" si="31"/>
        <v>0</v>
      </c>
      <c r="N133" s="487"/>
      <c r="O133" s="478">
        <f t="shared" si="32"/>
        <v>0</v>
      </c>
      <c r="P133" s="478">
        <f t="shared" si="33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6">
        <f>IF(F133+SUM(E$99:E133)=D$92,F133,D$92-SUM(E$99:E133))</f>
        <v>1010219</v>
      </c>
      <c r="E134" s="484">
        <f t="shared" si="25"/>
        <v>120459</v>
      </c>
      <c r="F134" s="485">
        <f t="shared" si="26"/>
        <v>889760</v>
      </c>
      <c r="G134" s="485">
        <f t="shared" si="27"/>
        <v>949989.5</v>
      </c>
      <c r="H134" s="488">
        <f t="shared" si="28"/>
        <v>222878.55149880826</v>
      </c>
      <c r="I134" s="542">
        <f t="shared" si="29"/>
        <v>222878.55149880826</v>
      </c>
      <c r="J134" s="478">
        <f t="shared" si="22"/>
        <v>0</v>
      </c>
      <c r="K134" s="478"/>
      <c r="L134" s="487"/>
      <c r="M134" s="478">
        <f t="shared" si="31"/>
        <v>0</v>
      </c>
      <c r="N134" s="487"/>
      <c r="O134" s="478">
        <f t="shared" si="32"/>
        <v>0</v>
      </c>
      <c r="P134" s="478">
        <f t="shared" si="33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6">
        <f>IF(F134+SUM(E$99:E134)=D$92,F134,D$92-SUM(E$99:E134))</f>
        <v>889760</v>
      </c>
      <c r="E135" s="484">
        <f t="shared" si="25"/>
        <v>120459</v>
      </c>
      <c r="F135" s="485">
        <f t="shared" si="26"/>
        <v>769301</v>
      </c>
      <c r="G135" s="485">
        <f t="shared" si="27"/>
        <v>829530.5</v>
      </c>
      <c r="H135" s="488">
        <f t="shared" si="28"/>
        <v>209891.71664011251</v>
      </c>
      <c r="I135" s="542">
        <f t="shared" si="29"/>
        <v>209891.71664011251</v>
      </c>
      <c r="J135" s="478">
        <f t="shared" si="22"/>
        <v>0</v>
      </c>
      <c r="K135" s="478"/>
      <c r="L135" s="487"/>
      <c r="M135" s="478">
        <f t="shared" si="31"/>
        <v>0</v>
      </c>
      <c r="N135" s="487"/>
      <c r="O135" s="478">
        <f t="shared" si="32"/>
        <v>0</v>
      </c>
      <c r="P135" s="478">
        <f t="shared" si="33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6">
        <f>IF(F135+SUM(E$99:E135)=D$92,F135,D$92-SUM(E$99:E135))</f>
        <v>769301</v>
      </c>
      <c r="E136" s="484">
        <f t="shared" si="25"/>
        <v>120459</v>
      </c>
      <c r="F136" s="485">
        <f t="shared" si="26"/>
        <v>648842</v>
      </c>
      <c r="G136" s="485">
        <f t="shared" si="27"/>
        <v>709071.5</v>
      </c>
      <c r="H136" s="488">
        <f t="shared" si="28"/>
        <v>196904.88178141677</v>
      </c>
      <c r="I136" s="542">
        <f t="shared" si="29"/>
        <v>196904.88178141677</v>
      </c>
      <c r="J136" s="478">
        <f t="shared" si="22"/>
        <v>0</v>
      </c>
      <c r="K136" s="478"/>
      <c r="L136" s="487"/>
      <c r="M136" s="478">
        <f t="shared" si="31"/>
        <v>0</v>
      </c>
      <c r="N136" s="487"/>
      <c r="O136" s="478">
        <f t="shared" si="32"/>
        <v>0</v>
      </c>
      <c r="P136" s="478">
        <f t="shared" si="33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6">
        <f>IF(F136+SUM(E$99:E136)=D$92,F136,D$92-SUM(E$99:E136))</f>
        <v>648842</v>
      </c>
      <c r="E137" s="484">
        <f t="shared" si="25"/>
        <v>120459</v>
      </c>
      <c r="F137" s="485">
        <f t="shared" si="26"/>
        <v>528383</v>
      </c>
      <c r="G137" s="485">
        <f t="shared" si="27"/>
        <v>588612.5</v>
      </c>
      <c r="H137" s="488">
        <f t="shared" si="28"/>
        <v>183918.04692272103</v>
      </c>
      <c r="I137" s="542">
        <f t="shared" si="29"/>
        <v>183918.04692272103</v>
      </c>
      <c r="J137" s="478">
        <f t="shared" si="22"/>
        <v>0</v>
      </c>
      <c r="K137" s="478"/>
      <c r="L137" s="487"/>
      <c r="M137" s="478">
        <f t="shared" si="31"/>
        <v>0</v>
      </c>
      <c r="N137" s="487"/>
      <c r="O137" s="478">
        <f t="shared" si="32"/>
        <v>0</v>
      </c>
      <c r="P137" s="478">
        <f t="shared" si="33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6">
        <f>IF(F137+SUM(E$99:E137)=D$92,F137,D$92-SUM(E$99:E137))</f>
        <v>528383</v>
      </c>
      <c r="E138" s="484">
        <f t="shared" si="25"/>
        <v>120459</v>
      </c>
      <c r="F138" s="485">
        <f t="shared" si="26"/>
        <v>407924</v>
      </c>
      <c r="G138" s="485">
        <f t="shared" si="27"/>
        <v>468153.5</v>
      </c>
      <c r="H138" s="488">
        <f t="shared" si="28"/>
        <v>170931.21206402528</v>
      </c>
      <c r="I138" s="542">
        <f t="shared" si="29"/>
        <v>170931.21206402528</v>
      </c>
      <c r="J138" s="478">
        <f t="shared" si="22"/>
        <v>0</v>
      </c>
      <c r="K138" s="478"/>
      <c r="L138" s="487"/>
      <c r="M138" s="478">
        <f t="shared" si="31"/>
        <v>0</v>
      </c>
      <c r="N138" s="487"/>
      <c r="O138" s="478">
        <f t="shared" si="32"/>
        <v>0</v>
      </c>
      <c r="P138" s="478">
        <f t="shared" si="33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6">
        <f>IF(F138+SUM(E$99:E138)=D$92,F138,D$92-SUM(E$99:E138))</f>
        <v>407924</v>
      </c>
      <c r="E139" s="484">
        <f t="shared" si="25"/>
        <v>120459</v>
      </c>
      <c r="F139" s="485">
        <f t="shared" si="26"/>
        <v>287465</v>
      </c>
      <c r="G139" s="485">
        <f t="shared" si="27"/>
        <v>347694.5</v>
      </c>
      <c r="H139" s="488">
        <f t="shared" si="28"/>
        <v>157944.37720532951</v>
      </c>
      <c r="I139" s="542">
        <f t="shared" si="29"/>
        <v>157944.37720532951</v>
      </c>
      <c r="J139" s="478">
        <f t="shared" si="22"/>
        <v>0</v>
      </c>
      <c r="K139" s="478"/>
      <c r="L139" s="487"/>
      <c r="M139" s="478">
        <f t="shared" si="31"/>
        <v>0</v>
      </c>
      <c r="N139" s="487"/>
      <c r="O139" s="478">
        <f t="shared" si="32"/>
        <v>0</v>
      </c>
      <c r="P139" s="478">
        <f t="shared" si="33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6">
        <f>IF(F139+SUM(E$99:E139)=D$92,F139,D$92-SUM(E$99:E139))</f>
        <v>287465</v>
      </c>
      <c r="E140" s="484">
        <f t="shared" si="25"/>
        <v>120459</v>
      </c>
      <c r="F140" s="485">
        <f t="shared" si="26"/>
        <v>167006</v>
      </c>
      <c r="G140" s="485">
        <f t="shared" si="27"/>
        <v>227235.5</v>
      </c>
      <c r="H140" s="488">
        <f t="shared" si="28"/>
        <v>144957.54234663377</v>
      </c>
      <c r="I140" s="542">
        <f t="shared" si="29"/>
        <v>144957.54234663377</v>
      </c>
      <c r="J140" s="478">
        <f t="shared" si="22"/>
        <v>0</v>
      </c>
      <c r="K140" s="478"/>
      <c r="L140" s="487"/>
      <c r="M140" s="478">
        <f t="shared" si="31"/>
        <v>0</v>
      </c>
      <c r="N140" s="487"/>
      <c r="O140" s="478">
        <f t="shared" si="32"/>
        <v>0</v>
      </c>
      <c r="P140" s="478">
        <f t="shared" si="33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6">
        <f>IF(F140+SUM(E$99:E140)=D$92,F140,D$92-SUM(E$99:E140))</f>
        <v>167006</v>
      </c>
      <c r="E141" s="484">
        <f t="shared" si="25"/>
        <v>120459</v>
      </c>
      <c r="F141" s="485">
        <f t="shared" si="26"/>
        <v>46547</v>
      </c>
      <c r="G141" s="485">
        <f t="shared" si="27"/>
        <v>106776.5</v>
      </c>
      <c r="H141" s="488">
        <f t="shared" si="28"/>
        <v>131970.70748793802</v>
      </c>
      <c r="I141" s="542">
        <f t="shared" si="29"/>
        <v>131970.70748793802</v>
      </c>
      <c r="J141" s="478">
        <f t="shared" si="22"/>
        <v>0</v>
      </c>
      <c r="K141" s="478"/>
      <c r="L141" s="487"/>
      <c r="M141" s="478">
        <f t="shared" si="31"/>
        <v>0</v>
      </c>
      <c r="N141" s="487"/>
      <c r="O141" s="478">
        <f t="shared" si="32"/>
        <v>0</v>
      </c>
      <c r="P141" s="478">
        <f t="shared" si="33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6">
        <f>IF(F141+SUM(E$99:E141)=D$92,F141,D$92-SUM(E$99:E141))</f>
        <v>46547</v>
      </c>
      <c r="E142" s="484">
        <f t="shared" si="25"/>
        <v>46547</v>
      </c>
      <c r="F142" s="485">
        <f t="shared" si="26"/>
        <v>0</v>
      </c>
      <c r="G142" s="485">
        <f t="shared" si="27"/>
        <v>23273.5</v>
      </c>
      <c r="H142" s="488">
        <f t="shared" si="28"/>
        <v>49056.145029295076</v>
      </c>
      <c r="I142" s="542">
        <f t="shared" si="29"/>
        <v>49056.145029295076</v>
      </c>
      <c r="J142" s="478">
        <f t="shared" si="22"/>
        <v>0</v>
      </c>
      <c r="K142" s="478"/>
      <c r="L142" s="487"/>
      <c r="M142" s="478">
        <f t="shared" si="31"/>
        <v>0</v>
      </c>
      <c r="N142" s="487"/>
      <c r="O142" s="478">
        <f t="shared" si="32"/>
        <v>0</v>
      </c>
      <c r="P142" s="478">
        <f t="shared" si="33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5"/>
        <v>0</v>
      </c>
      <c r="F143" s="485">
        <f t="shared" si="26"/>
        <v>0</v>
      </c>
      <c r="G143" s="485">
        <f t="shared" si="27"/>
        <v>0</v>
      </c>
      <c r="H143" s="488">
        <f t="shared" si="28"/>
        <v>0</v>
      </c>
      <c r="I143" s="542">
        <f t="shared" si="29"/>
        <v>0</v>
      </c>
      <c r="J143" s="478">
        <f t="shared" si="22"/>
        <v>0</v>
      </c>
      <c r="K143" s="478"/>
      <c r="L143" s="487"/>
      <c r="M143" s="478">
        <f t="shared" si="31"/>
        <v>0</v>
      </c>
      <c r="N143" s="487"/>
      <c r="O143" s="478">
        <f t="shared" si="32"/>
        <v>0</v>
      </c>
      <c r="P143" s="478">
        <f t="shared" si="33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5"/>
        <v>0</v>
      </c>
      <c r="F144" s="485">
        <f t="shared" si="26"/>
        <v>0</v>
      </c>
      <c r="G144" s="485">
        <f t="shared" si="27"/>
        <v>0</v>
      </c>
      <c r="H144" s="488">
        <f t="shared" si="28"/>
        <v>0</v>
      </c>
      <c r="I144" s="542">
        <f t="shared" si="29"/>
        <v>0</v>
      </c>
      <c r="J144" s="478">
        <f t="shared" si="22"/>
        <v>0</v>
      </c>
      <c r="K144" s="478"/>
      <c r="L144" s="487"/>
      <c r="M144" s="478">
        <f t="shared" si="31"/>
        <v>0</v>
      </c>
      <c r="N144" s="487"/>
      <c r="O144" s="478">
        <f t="shared" si="32"/>
        <v>0</v>
      </c>
      <c r="P144" s="478">
        <f t="shared" si="33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5"/>
        <v>0</v>
      </c>
      <c r="F145" s="485">
        <f t="shared" si="26"/>
        <v>0</v>
      </c>
      <c r="G145" s="485">
        <f t="shared" si="27"/>
        <v>0</v>
      </c>
      <c r="H145" s="488">
        <f t="shared" si="28"/>
        <v>0</v>
      </c>
      <c r="I145" s="542">
        <f t="shared" si="29"/>
        <v>0</v>
      </c>
      <c r="J145" s="478">
        <f t="shared" si="22"/>
        <v>0</v>
      </c>
      <c r="K145" s="478"/>
      <c r="L145" s="487"/>
      <c r="M145" s="478">
        <f t="shared" si="31"/>
        <v>0</v>
      </c>
      <c r="N145" s="487"/>
      <c r="O145" s="478">
        <f t="shared" si="32"/>
        <v>0</v>
      </c>
      <c r="P145" s="478">
        <f t="shared" si="33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5"/>
        <v>0</v>
      </c>
      <c r="F146" s="485">
        <f t="shared" si="26"/>
        <v>0</v>
      </c>
      <c r="G146" s="485">
        <f t="shared" si="27"/>
        <v>0</v>
      </c>
      <c r="H146" s="488">
        <f t="shared" si="28"/>
        <v>0</v>
      </c>
      <c r="I146" s="542">
        <f t="shared" si="29"/>
        <v>0</v>
      </c>
      <c r="J146" s="478">
        <f t="shared" si="22"/>
        <v>0</v>
      </c>
      <c r="K146" s="478"/>
      <c r="L146" s="487"/>
      <c r="M146" s="478">
        <f t="shared" si="31"/>
        <v>0</v>
      </c>
      <c r="N146" s="487"/>
      <c r="O146" s="478">
        <f t="shared" si="32"/>
        <v>0</v>
      </c>
      <c r="P146" s="478">
        <f t="shared" si="33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5"/>
        <v>0</v>
      </c>
      <c r="F147" s="485">
        <f t="shared" si="26"/>
        <v>0</v>
      </c>
      <c r="G147" s="485">
        <f t="shared" si="27"/>
        <v>0</v>
      </c>
      <c r="H147" s="488">
        <f t="shared" si="28"/>
        <v>0</v>
      </c>
      <c r="I147" s="542">
        <f t="shared" si="29"/>
        <v>0</v>
      </c>
      <c r="J147" s="478">
        <f t="shared" si="22"/>
        <v>0</v>
      </c>
      <c r="K147" s="478"/>
      <c r="L147" s="487"/>
      <c r="M147" s="478">
        <f t="shared" si="31"/>
        <v>0</v>
      </c>
      <c r="N147" s="487"/>
      <c r="O147" s="478">
        <f t="shared" si="32"/>
        <v>0</v>
      </c>
      <c r="P147" s="478">
        <f t="shared" si="33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5"/>
        <v>0</v>
      </c>
      <c r="F148" s="485">
        <f t="shared" si="26"/>
        <v>0</v>
      </c>
      <c r="G148" s="485">
        <f t="shared" si="27"/>
        <v>0</v>
      </c>
      <c r="H148" s="488">
        <f t="shared" si="28"/>
        <v>0</v>
      </c>
      <c r="I148" s="542">
        <f t="shared" si="29"/>
        <v>0</v>
      </c>
      <c r="J148" s="478">
        <f t="shared" si="22"/>
        <v>0</v>
      </c>
      <c r="K148" s="478"/>
      <c r="L148" s="487"/>
      <c r="M148" s="478">
        <f t="shared" si="31"/>
        <v>0</v>
      </c>
      <c r="N148" s="487"/>
      <c r="O148" s="478">
        <f t="shared" si="32"/>
        <v>0</v>
      </c>
      <c r="P148" s="478">
        <f t="shared" si="33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5"/>
        <v>0</v>
      </c>
      <c r="F149" s="485">
        <f t="shared" si="26"/>
        <v>0</v>
      </c>
      <c r="G149" s="485">
        <f t="shared" si="27"/>
        <v>0</v>
      </c>
      <c r="H149" s="488">
        <f t="shared" si="28"/>
        <v>0</v>
      </c>
      <c r="I149" s="542">
        <f t="shared" si="29"/>
        <v>0</v>
      </c>
      <c r="J149" s="478">
        <f t="shared" si="22"/>
        <v>0</v>
      </c>
      <c r="K149" s="478"/>
      <c r="L149" s="487"/>
      <c r="M149" s="478">
        <f t="shared" si="31"/>
        <v>0</v>
      </c>
      <c r="N149" s="487"/>
      <c r="O149" s="478">
        <f t="shared" si="32"/>
        <v>0</v>
      </c>
      <c r="P149" s="478">
        <f t="shared" si="33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5"/>
        <v>0</v>
      </c>
      <c r="F150" s="485">
        <f t="shared" si="26"/>
        <v>0</v>
      </c>
      <c r="G150" s="485">
        <f t="shared" si="27"/>
        <v>0</v>
      </c>
      <c r="H150" s="488">
        <f t="shared" si="28"/>
        <v>0</v>
      </c>
      <c r="I150" s="542">
        <f t="shared" si="29"/>
        <v>0</v>
      </c>
      <c r="J150" s="478">
        <f t="shared" si="22"/>
        <v>0</v>
      </c>
      <c r="K150" s="478"/>
      <c r="L150" s="487"/>
      <c r="M150" s="478">
        <f t="shared" si="31"/>
        <v>0</v>
      </c>
      <c r="N150" s="487"/>
      <c r="O150" s="478">
        <f t="shared" si="32"/>
        <v>0</v>
      </c>
      <c r="P150" s="478">
        <f t="shared" si="33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5"/>
        <v>0</v>
      </c>
      <c r="F151" s="485">
        <f t="shared" si="26"/>
        <v>0</v>
      </c>
      <c r="G151" s="485">
        <f t="shared" si="27"/>
        <v>0</v>
      </c>
      <c r="H151" s="488">
        <f t="shared" si="28"/>
        <v>0</v>
      </c>
      <c r="I151" s="542">
        <f t="shared" si="29"/>
        <v>0</v>
      </c>
      <c r="J151" s="478">
        <f t="shared" si="22"/>
        <v>0</v>
      </c>
      <c r="K151" s="478"/>
      <c r="L151" s="487"/>
      <c r="M151" s="478">
        <f t="shared" si="31"/>
        <v>0</v>
      </c>
      <c r="N151" s="487"/>
      <c r="O151" s="478">
        <f t="shared" si="32"/>
        <v>0</v>
      </c>
      <c r="P151" s="478">
        <f t="shared" si="33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5"/>
        <v>0</v>
      </c>
      <c r="F152" s="485">
        <f t="shared" si="26"/>
        <v>0</v>
      </c>
      <c r="G152" s="485">
        <f t="shared" si="27"/>
        <v>0</v>
      </c>
      <c r="H152" s="488">
        <f t="shared" si="28"/>
        <v>0</v>
      </c>
      <c r="I152" s="542">
        <f t="shared" si="29"/>
        <v>0</v>
      </c>
      <c r="J152" s="478">
        <f t="shared" si="22"/>
        <v>0</v>
      </c>
      <c r="K152" s="478"/>
      <c r="L152" s="487"/>
      <c r="M152" s="478">
        <f t="shared" si="31"/>
        <v>0</v>
      </c>
      <c r="N152" s="487"/>
      <c r="O152" s="478">
        <f t="shared" si="32"/>
        <v>0</v>
      </c>
      <c r="P152" s="478">
        <f t="shared" si="33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5"/>
        <v>0</v>
      </c>
      <c r="F153" s="485">
        <f t="shared" si="26"/>
        <v>0</v>
      </c>
      <c r="G153" s="485">
        <f t="shared" si="27"/>
        <v>0</v>
      </c>
      <c r="H153" s="488">
        <f t="shared" si="28"/>
        <v>0</v>
      </c>
      <c r="I153" s="542">
        <f t="shared" si="29"/>
        <v>0</v>
      </c>
      <c r="J153" s="478">
        <f t="shared" si="22"/>
        <v>0</v>
      </c>
      <c r="K153" s="478"/>
      <c r="L153" s="487"/>
      <c r="M153" s="478">
        <f t="shared" si="31"/>
        <v>0</v>
      </c>
      <c r="N153" s="487"/>
      <c r="O153" s="478">
        <f t="shared" si="32"/>
        <v>0</v>
      </c>
      <c r="P153" s="478">
        <f t="shared" si="33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346">
        <f>IF(F153+SUM(E$99:E153)=D$92,F153,D$92-SUM(E$99:E153))</f>
        <v>0</v>
      </c>
      <c r="E154" s="484">
        <f t="shared" si="25"/>
        <v>0</v>
      </c>
      <c r="F154" s="485">
        <f t="shared" si="26"/>
        <v>0</v>
      </c>
      <c r="G154" s="485">
        <f t="shared" si="27"/>
        <v>0</v>
      </c>
      <c r="H154" s="488">
        <f t="shared" si="28"/>
        <v>0</v>
      </c>
      <c r="I154" s="542">
        <f t="shared" si="29"/>
        <v>0</v>
      </c>
      <c r="J154" s="478">
        <f t="shared" si="22"/>
        <v>0</v>
      </c>
      <c r="K154" s="478"/>
      <c r="L154" s="494"/>
      <c r="M154" s="495">
        <f t="shared" si="31"/>
        <v>0</v>
      </c>
      <c r="N154" s="494"/>
      <c r="O154" s="495">
        <f t="shared" si="32"/>
        <v>0</v>
      </c>
      <c r="P154" s="495">
        <f t="shared" si="33"/>
        <v>0</v>
      </c>
    </row>
    <row r="155" spans="2:16">
      <c r="C155" s="346" t="s">
        <v>77</v>
      </c>
      <c r="D155" s="347"/>
      <c r="E155" s="347">
        <f>SUM(E99:E154)</f>
        <v>5059278</v>
      </c>
      <c r="F155" s="347"/>
      <c r="G155" s="347"/>
      <c r="H155" s="347">
        <f>SUM(H99:H154)</f>
        <v>17398933.742100723</v>
      </c>
      <c r="I155" s="347">
        <f>SUM(I99:I154)</f>
        <v>17398933.742100723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3" priority="1" stopIfTrue="1" operator="equal">
      <formula>$I$10</formula>
    </cfRule>
  </conditionalFormatting>
  <conditionalFormatting sqref="C99:C154">
    <cfRule type="cellIs" dxfId="3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/>
  <dimension ref="A1:S137"/>
  <sheetViews>
    <sheetView view="pageBreakPreview" zoomScale="80" zoomScaleNormal="100" zoomScaleSheetLayoutView="80" workbookViewId="0">
      <selection sqref="A1:J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16.140625" style="148" customWidth="1"/>
    <col min="10" max="10" width="2.1406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3.5703125" style="148" bestFit="1" customWidth="1"/>
    <col min="17" max="17" width="4.7109375" style="148" customWidth="1"/>
    <col min="18" max="18" width="15.42578125" style="148" customWidth="1"/>
    <col min="19" max="19" width="81.85546875" style="148" bestFit="1" customWidth="1"/>
    <col min="20" max="22" width="8.7109375" style="148"/>
    <col min="23" max="23" width="9.140625" style="148" customWidth="1"/>
    <col min="24" max="16384" width="8.7109375" style="148"/>
  </cols>
  <sheetData>
    <row r="1" spans="1:18" ht="18">
      <c r="A1" s="643" t="s">
        <v>123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1:18" ht="18">
      <c r="A2" s="645" t="str">
        <f>L19+1&amp;" Cost of Service Formula Rate Projected on "&amp;L19&amp;" FF1 Balances"</f>
        <v>2023 Cost of Service Formula Rate Projected on 2022 FF1 Balances</v>
      </c>
      <c r="B2" s="645"/>
      <c r="C2" s="645"/>
      <c r="D2" s="645"/>
      <c r="E2" s="645"/>
      <c r="F2" s="645"/>
      <c r="G2" s="645"/>
      <c r="H2" s="645"/>
      <c r="I2" s="645"/>
      <c r="J2" s="645"/>
    </row>
    <row r="3" spans="1:18" ht="18">
      <c r="A3" s="646" t="s">
        <v>140</v>
      </c>
      <c r="B3" s="645"/>
      <c r="C3" s="645"/>
      <c r="D3" s="645"/>
      <c r="E3" s="645"/>
      <c r="F3" s="645"/>
      <c r="G3" s="645"/>
      <c r="H3" s="645"/>
      <c r="I3" s="645"/>
      <c r="J3" s="645"/>
      <c r="Q3" s="239" t="s">
        <v>125</v>
      </c>
    </row>
    <row r="4" spans="1:18" ht="18">
      <c r="A4" s="645" t="str">
        <f>"Based on a Carrying Charge Derived from ""Historic"" "&amp;L19&amp;" Data"</f>
        <v>Based on a Carrying Charge Derived from "Historic" 2022 Data</v>
      </c>
      <c r="B4" s="645"/>
      <c r="C4" s="645"/>
      <c r="D4" s="645"/>
      <c r="E4" s="645"/>
      <c r="F4" s="645"/>
      <c r="G4" s="645"/>
      <c r="H4" s="645"/>
      <c r="I4" s="645"/>
      <c r="J4" s="645"/>
    </row>
    <row r="5" spans="1:18" ht="18">
      <c r="A5" s="647" t="s">
        <v>124</v>
      </c>
      <c r="B5" s="647"/>
      <c r="C5" s="647"/>
      <c r="D5" s="647"/>
      <c r="E5" s="647"/>
      <c r="F5" s="647"/>
      <c r="G5" s="647"/>
      <c r="H5" s="647"/>
      <c r="I5" s="647"/>
      <c r="J5" s="647"/>
    </row>
    <row r="6" spans="1:18">
      <c r="A6" s="232"/>
      <c r="B6" s="232"/>
      <c r="C6" s="232"/>
      <c r="D6" s="240"/>
      <c r="E6" s="232"/>
      <c r="F6" s="232"/>
      <c r="G6" s="232"/>
      <c r="H6" s="241"/>
      <c r="I6" s="232"/>
      <c r="J6" s="242"/>
    </row>
    <row r="7" spans="1:18">
      <c r="D7" s="160"/>
      <c r="H7" s="216"/>
      <c r="J7" s="195"/>
    </row>
    <row r="8" spans="1:18" ht="38.25" customHeight="1">
      <c r="B8" s="243" t="s">
        <v>0</v>
      </c>
      <c r="C8" s="639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0"/>
      <c r="E8" s="640"/>
      <c r="F8" s="640"/>
      <c r="G8" s="640"/>
      <c r="H8" s="640"/>
      <c r="J8" s="195"/>
      <c r="R8" s="234"/>
    </row>
    <row r="9" spans="1:18">
      <c r="D9" s="160"/>
      <c r="H9" s="216"/>
      <c r="J9" s="195"/>
    </row>
    <row r="10" spans="1:18" ht="15.7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H10" s="216"/>
      <c r="J10" s="195"/>
      <c r="K10" s="245"/>
      <c r="L10" s="246"/>
    </row>
    <row r="11" spans="1:18">
      <c r="D11" s="160"/>
      <c r="H11" s="216"/>
      <c r="J11" s="195"/>
    </row>
    <row r="12" spans="1:18">
      <c r="C12" s="247" t="str">
        <f>S105</f>
        <v xml:space="preserve">   ROE w/o incentives  (TCOS, ln 143)</v>
      </c>
      <c r="D12" s="160"/>
      <c r="E12" s="248"/>
      <c r="F12" s="249">
        <v>0.105</v>
      </c>
      <c r="G12" s="250"/>
      <c r="H12" s="251"/>
      <c r="I12" s="252"/>
      <c r="J12" s="253"/>
      <c r="K12" s="252"/>
      <c r="L12" s="252"/>
      <c r="M12" s="252"/>
      <c r="N12" s="252"/>
      <c r="O12" s="248"/>
      <c r="P12" s="252"/>
      <c r="Q12" s="232"/>
    </row>
    <row r="13" spans="1:18">
      <c r="C13" s="247" t="s">
        <v>1</v>
      </c>
      <c r="D13" s="160"/>
      <c r="E13" s="248"/>
      <c r="F13" s="254">
        <f>+R106</f>
        <v>0</v>
      </c>
      <c r="G13" s="148" t="s">
        <v>152</v>
      </c>
      <c r="K13" s="252"/>
      <c r="L13" s="252"/>
      <c r="M13" s="252"/>
      <c r="N13" s="252"/>
      <c r="O13" s="248"/>
      <c r="P13" s="252"/>
      <c r="Q13" s="232"/>
    </row>
    <row r="14" spans="1:18" ht="13.5" thickBot="1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H14" s="252"/>
      <c r="I14" s="252"/>
      <c r="J14" s="253"/>
      <c r="K14" s="252"/>
      <c r="L14" s="252"/>
      <c r="M14" s="252"/>
      <c r="N14" s="252"/>
      <c r="O14" s="248"/>
      <c r="P14" s="252"/>
      <c r="Q14" s="232"/>
    </row>
    <row r="15" spans="1:18">
      <c r="C15" s="247" t="s">
        <v>231</v>
      </c>
      <c r="D15" s="160"/>
      <c r="E15" s="248"/>
      <c r="F15" s="255"/>
      <c r="G15" s="248"/>
      <c r="H15" s="252"/>
      <c r="I15" s="252"/>
      <c r="J15" s="253"/>
      <c r="K15" s="633" t="s">
        <v>3</v>
      </c>
      <c r="L15" s="634"/>
      <c r="M15" s="634"/>
      <c r="N15" s="634"/>
      <c r="O15" s="635"/>
      <c r="P15" s="252"/>
      <c r="Q15" s="232"/>
    </row>
    <row r="16" spans="1:18">
      <c r="C16" s="253"/>
      <c r="D16" s="257" t="s">
        <v>4</v>
      </c>
      <c r="E16" s="257" t="s">
        <v>5</v>
      </c>
      <c r="F16" s="258" t="s">
        <v>6</v>
      </c>
      <c r="G16" s="248"/>
      <c r="H16" s="252"/>
      <c r="I16" s="252"/>
      <c r="J16" s="253"/>
      <c r="K16" s="636"/>
      <c r="L16" s="637"/>
      <c r="M16" s="637"/>
      <c r="N16" s="637"/>
      <c r="O16" s="638"/>
      <c r="P16" s="252"/>
      <c r="Q16" s="232"/>
    </row>
    <row r="17" spans="3:17">
      <c r="C17" s="259" t="s">
        <v>7</v>
      </c>
      <c r="D17" s="260">
        <f>+R107</f>
        <v>0.46528590554198529</v>
      </c>
      <c r="E17" s="261">
        <f>+R108</f>
        <v>3.6100419315000257E-2</v>
      </c>
      <c r="F17" s="262">
        <f>E17*D17</f>
        <v>1.6797016291425271E-2</v>
      </c>
      <c r="G17" s="248"/>
      <c r="H17" s="252"/>
      <c r="I17" s="263"/>
      <c r="J17" s="264"/>
      <c r="K17" s="265"/>
      <c r="L17" s="266"/>
      <c r="M17" s="253" t="s">
        <v>8</v>
      </c>
      <c r="N17" s="253" t="s">
        <v>9</v>
      </c>
      <c r="O17" s="267" t="s">
        <v>10</v>
      </c>
      <c r="P17" s="252"/>
      <c r="Q17" s="232"/>
    </row>
    <row r="18" spans="3:17">
      <c r="C18" s="259" t="s">
        <v>11</v>
      </c>
      <c r="D18" s="260">
        <f>+R109</f>
        <v>0</v>
      </c>
      <c r="E18" s="261">
        <f>+R110</f>
        <v>0</v>
      </c>
      <c r="F18" s="262">
        <f>E18*D18</f>
        <v>0</v>
      </c>
      <c r="G18" s="268"/>
      <c r="H18" s="268"/>
      <c r="I18" s="269"/>
      <c r="J18" s="270"/>
      <c r="K18" s="271"/>
      <c r="L18" s="195"/>
      <c r="M18" s="195"/>
      <c r="N18" s="195"/>
      <c r="O18" s="272"/>
      <c r="P18" s="268"/>
      <c r="Q18" s="232"/>
    </row>
    <row r="19" spans="3:17" ht="13.5" thickBot="1">
      <c r="C19" s="273" t="s">
        <v>12</v>
      </c>
      <c r="D19" s="260">
        <f>+R111</f>
        <v>0.53471409445801488</v>
      </c>
      <c r="E19" s="261">
        <f>+F14</f>
        <v>0.105</v>
      </c>
      <c r="F19" s="274">
        <f>E19*D19</f>
        <v>5.6144979918091559E-2</v>
      </c>
      <c r="G19" s="268"/>
      <c r="H19" s="268"/>
      <c r="I19" s="255"/>
      <c r="J19" s="270"/>
      <c r="K19" s="275" t="s">
        <v>13</v>
      </c>
      <c r="L19" s="276">
        <f>R104</f>
        <v>2022</v>
      </c>
      <c r="M19" s="277">
        <f>SUM('P.001:P.xyz - blank'!N5)</f>
        <v>8173098.1037967186</v>
      </c>
      <c r="N19" s="277">
        <f>SUM('P.001:P.xyz - blank'!N6)</f>
        <v>8173098.1037967186</v>
      </c>
      <c r="O19" s="278">
        <f>+N19-M19</f>
        <v>0</v>
      </c>
      <c r="P19" s="269"/>
      <c r="Q19" s="232"/>
    </row>
    <row r="20" spans="3:17">
      <c r="C20" s="247"/>
      <c r="D20" s="248"/>
      <c r="E20" s="279" t="s">
        <v>14</v>
      </c>
      <c r="F20" s="262">
        <f>SUM(F17:F19)</f>
        <v>7.2941996209516829E-2</v>
      </c>
      <c r="G20" s="268"/>
      <c r="H20" s="268"/>
      <c r="I20" s="269"/>
      <c r="J20" s="270"/>
      <c r="M20" s="280" t="str">
        <f>IF(M19=SUM('P.001:P.xyz - blank'!N5),"","ERROR")</f>
        <v/>
      </c>
      <c r="N20" s="280" t="str">
        <f>IF(N19=SUM('P.001:P.xyz - blank'!N6),"","ERROR")</f>
        <v/>
      </c>
      <c r="O20" s="280" t="str">
        <f>IF(O19=SUM('P.001:P.xyz - blank'!N7),"","ERROR")</f>
        <v/>
      </c>
      <c r="P20" s="268"/>
      <c r="Q20" s="232"/>
    </row>
    <row r="21" spans="3:17">
      <c r="D21" s="281"/>
      <c r="E21" s="281"/>
      <c r="F21" s="268"/>
      <c r="G21" s="268"/>
      <c r="H21" s="268"/>
      <c r="I21" s="268"/>
      <c r="J21" s="282"/>
      <c r="K21" s="178" t="s">
        <v>15</v>
      </c>
      <c r="P21" s="268"/>
      <c r="Q21" s="232"/>
    </row>
    <row r="22" spans="3:17" ht="15.7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68"/>
      <c r="H22" s="248"/>
      <c r="I22" s="268"/>
      <c r="J22" s="282"/>
      <c r="K22" s="148" t="s">
        <v>16</v>
      </c>
      <c r="P22" s="268"/>
      <c r="Q22" s="232"/>
    </row>
    <row r="23" spans="3:17">
      <c r="C23" s="253"/>
      <c r="D23" s="281"/>
      <c r="E23" s="281"/>
      <c r="F23" s="282"/>
      <c r="G23" s="282"/>
      <c r="H23" s="282"/>
      <c r="I23" s="282"/>
      <c r="J23" s="282"/>
      <c r="K23" s="269"/>
      <c r="L23" s="284"/>
      <c r="M23" s="236"/>
      <c r="N23" s="269"/>
      <c r="O23" s="268"/>
      <c r="P23" s="282"/>
      <c r="Q23" s="242"/>
    </row>
    <row r="24" spans="3:17">
      <c r="C24" s="247" t="str">
        <f>+S112</f>
        <v xml:space="preserve">   Rate Base  (TCOS, ln 63)</v>
      </c>
      <c r="D24" s="248"/>
      <c r="E24" s="285">
        <f>+R112</f>
        <v>604335882.55089986</v>
      </c>
      <c r="F24" s="286"/>
      <c r="G24" s="282"/>
      <c r="H24" s="282"/>
      <c r="I24" s="282"/>
      <c r="J24" s="282"/>
      <c r="K24" s="282"/>
      <c r="L24" s="282"/>
      <c r="M24" s="282"/>
      <c r="N24" s="282"/>
      <c r="O24" s="282"/>
      <c r="P24" s="286"/>
      <c r="Q24" s="242"/>
    </row>
    <row r="25" spans="3:17">
      <c r="C25" s="253" t="s">
        <v>17</v>
      </c>
      <c r="D25" s="250"/>
      <c r="E25" s="287">
        <f>F20</f>
        <v>7.2941996209516829E-2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42"/>
    </row>
    <row r="26" spans="3:17">
      <c r="C26" s="288" t="s">
        <v>18</v>
      </c>
      <c r="D26" s="288"/>
      <c r="E26" s="269">
        <f>E24*E25</f>
        <v>44081465.654302746</v>
      </c>
      <c r="F26" s="282"/>
      <c r="G26" s="282"/>
      <c r="H26" s="282"/>
      <c r="I26" s="270"/>
      <c r="J26" s="270"/>
      <c r="K26" s="270"/>
      <c r="L26" s="270"/>
      <c r="M26" s="282"/>
      <c r="N26" s="270"/>
      <c r="O26" s="282"/>
      <c r="P26" s="282"/>
      <c r="Q26" s="242"/>
    </row>
    <row r="27" spans="3:17">
      <c r="C27" s="289"/>
      <c r="D27" s="252"/>
      <c r="E27" s="252"/>
      <c r="F27" s="282"/>
      <c r="G27" s="282"/>
      <c r="H27" s="282"/>
      <c r="I27" s="270"/>
      <c r="J27" s="270"/>
      <c r="K27" s="270"/>
      <c r="L27" s="270"/>
      <c r="M27" s="282"/>
      <c r="N27" s="270"/>
      <c r="O27" s="282"/>
      <c r="P27" s="282"/>
      <c r="Q27" s="242"/>
    </row>
    <row r="28" spans="3:17" ht="15.7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2"/>
      <c r="J28" s="292"/>
      <c r="K28" s="292"/>
      <c r="L28" s="292"/>
      <c r="M28" s="282"/>
      <c r="N28" s="292"/>
      <c r="O28" s="291"/>
      <c r="P28" s="291"/>
      <c r="Q28" s="242"/>
    </row>
    <row r="29" spans="3:17">
      <c r="C29" s="247"/>
      <c r="D29" s="252"/>
      <c r="E29" s="252"/>
      <c r="F29" s="282"/>
      <c r="G29" s="282"/>
      <c r="H29" s="282"/>
      <c r="I29" s="270"/>
      <c r="J29" s="270"/>
      <c r="K29" s="270"/>
      <c r="L29" s="270"/>
      <c r="M29" s="282"/>
      <c r="N29" s="270"/>
      <c r="O29" s="282"/>
      <c r="P29" s="282"/>
      <c r="Q29" s="242"/>
    </row>
    <row r="30" spans="3:17">
      <c r="C30" s="253" t="s">
        <v>19</v>
      </c>
      <c r="D30" s="279"/>
      <c r="E30" s="293">
        <f>E26</f>
        <v>44081465.654302746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42"/>
    </row>
    <row r="31" spans="3:17">
      <c r="C31" s="247" t="str">
        <f>+S113</f>
        <v xml:space="preserve">   Tax Rate  (TCOS, ln 99)</v>
      </c>
      <c r="D31" s="279"/>
      <c r="E31" s="294">
        <f>+R113</f>
        <v>0.24065199999999998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42"/>
    </row>
    <row r="32" spans="3:17">
      <c r="C32" s="253" t="s">
        <v>20</v>
      </c>
      <c r="D32" s="240"/>
      <c r="E32" s="255">
        <f>IF(F17&gt;0,($E31/(1-$E31))*(1-$F17/$F20),0)</f>
        <v>0.24393937582525183</v>
      </c>
      <c r="F32" s="232"/>
      <c r="G32" s="255"/>
      <c r="H32" s="241"/>
      <c r="I32" s="232"/>
      <c r="J32" s="242"/>
      <c r="K32" s="232"/>
      <c r="L32" s="232"/>
      <c r="M32" s="232"/>
      <c r="N32" s="232"/>
      <c r="O32" s="232"/>
      <c r="P32" s="232"/>
      <c r="Q32" s="232"/>
    </row>
    <row r="33" spans="2:19">
      <c r="C33" s="288" t="s">
        <v>21</v>
      </c>
      <c r="D33" s="295"/>
      <c r="E33" s="296">
        <f>E30*E32</f>
        <v>10753205.217172887</v>
      </c>
      <c r="F33" s="296"/>
      <c r="G33" s="232"/>
      <c r="H33" s="241"/>
      <c r="I33" s="232"/>
      <c r="J33" s="242"/>
      <c r="K33" s="232"/>
      <c r="L33" s="232"/>
      <c r="M33" s="232"/>
      <c r="N33" s="232"/>
      <c r="O33" s="232"/>
      <c r="P33" s="232"/>
      <c r="Q33" s="232"/>
    </row>
    <row r="34" spans="2:19" ht="15">
      <c r="C34" s="247" t="str">
        <f>+S114</f>
        <v xml:space="preserve">   ITC Adjustment  (TCOS, ln 108)</v>
      </c>
      <c r="D34" s="297"/>
      <c r="E34" s="298">
        <f>+R114</f>
        <v>-309556.88283684372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</row>
    <row r="35" spans="2:19" ht="15">
      <c r="C35" s="247" t="str">
        <f>+S115</f>
        <v xml:space="preserve">   Excess DFIT Adjustment  (TCOS, ln 109)</v>
      </c>
      <c r="D35" s="297"/>
      <c r="E35" s="298">
        <f>+R115</f>
        <v>-5050742.2565344656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</row>
    <row r="36" spans="2:19" ht="15">
      <c r="C36" s="247" t="str">
        <f>+S116</f>
        <v xml:space="preserve">   Tax Effect of Permanent and Flow Through Differences  (TCOS, ln 110)</v>
      </c>
      <c r="D36" s="297"/>
      <c r="E36" s="298">
        <f>+R116</f>
        <v>91995.52734714518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</row>
    <row r="37" spans="2:19" ht="15">
      <c r="C37" s="289" t="s">
        <v>22</v>
      </c>
      <c r="D37" s="297"/>
      <c r="E37" s="298">
        <f>E33+E34+E35+E36</f>
        <v>5484901.6051487243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32"/>
      <c r="S38" s="232"/>
    </row>
    <row r="39" spans="2:19" ht="18.75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32"/>
      <c r="S39" s="232"/>
    </row>
    <row r="40" spans="2:19" ht="15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3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32"/>
      <c r="S41" s="232"/>
    </row>
    <row r="42" spans="2:19" ht="15.75">
      <c r="C42" s="244" t="s">
        <v>24</v>
      </c>
      <c r="D42" s="297"/>
      <c r="E42" s="297"/>
      <c r="F42" s="304"/>
      <c r="G42" s="297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32"/>
      <c r="S42" s="232"/>
    </row>
    <row r="43" spans="2:19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32"/>
      <c r="S43" s="232"/>
    </row>
    <row r="44" spans="2:19" ht="12.75" customHeight="1">
      <c r="B44" s="232"/>
      <c r="C44" s="247" t="str">
        <f>+S117</f>
        <v xml:space="preserve">   Net Revenue Requirement  (TCOS, ln 117)</v>
      </c>
      <c r="D44" s="306"/>
      <c r="E44" s="306"/>
      <c r="F44" s="298">
        <f>+R117</f>
        <v>103217664.45847365</v>
      </c>
      <c r="G44" s="306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32"/>
      <c r="S44" s="232"/>
    </row>
    <row r="45" spans="2:19">
      <c r="B45" s="232"/>
      <c r="C45" s="247" t="str">
        <f>+S118</f>
        <v xml:space="preserve">   Return  (TCOS, ln 112)</v>
      </c>
      <c r="D45" s="306"/>
      <c r="E45" s="306"/>
      <c r="F45" s="307">
        <f>+R118</f>
        <v>44081465.654302746</v>
      </c>
      <c r="G45" s="308"/>
      <c r="H45" s="308"/>
      <c r="I45" s="308"/>
      <c r="J45" s="308"/>
      <c r="K45" s="308"/>
      <c r="L45" s="308"/>
      <c r="M45" s="308"/>
      <c r="N45" s="308"/>
      <c r="O45" s="308"/>
      <c r="P45" s="298"/>
      <c r="Q45" s="306"/>
      <c r="R45" s="232"/>
      <c r="S45" s="232"/>
    </row>
    <row r="46" spans="2:19">
      <c r="B46" s="232"/>
      <c r="C46" s="247" t="str">
        <f>+S119</f>
        <v xml:space="preserve">   Income Taxes  (TCOS, ln 111)</v>
      </c>
      <c r="D46" s="306"/>
      <c r="E46" s="306"/>
      <c r="F46" s="298">
        <f>+R119</f>
        <v>5484901.6051487243</v>
      </c>
      <c r="G46" s="306"/>
      <c r="H46" s="306"/>
      <c r="I46" s="309"/>
      <c r="J46" s="309"/>
      <c r="K46" s="309"/>
      <c r="L46" s="309"/>
      <c r="M46" s="309"/>
      <c r="N46" s="309"/>
      <c r="O46" s="306"/>
      <c r="P46" s="306"/>
      <c r="Q46" s="306"/>
      <c r="R46" s="232"/>
      <c r="S46" s="232"/>
    </row>
    <row r="47" spans="2:19">
      <c r="B47" s="232"/>
      <c r="C47" s="305" t="str">
        <f>+S120</f>
        <v xml:space="preserve">  Gross Margin Taxes  (TCOS, ln 116)</v>
      </c>
      <c r="D47" s="306"/>
      <c r="E47" s="306"/>
      <c r="F47" s="310">
        <f>+R120</f>
        <v>0</v>
      </c>
      <c r="G47" s="306"/>
      <c r="H47" s="306"/>
      <c r="I47" s="309"/>
      <c r="J47" s="309"/>
      <c r="K47" s="309"/>
      <c r="L47" s="309"/>
      <c r="M47" s="309"/>
      <c r="N47" s="309"/>
      <c r="O47" s="306"/>
      <c r="P47" s="306"/>
      <c r="Q47" s="306"/>
      <c r="R47" s="232"/>
      <c r="S47" s="232"/>
    </row>
    <row r="48" spans="2:19">
      <c r="B48" s="232"/>
      <c r="C48" s="311" t="s">
        <v>25</v>
      </c>
      <c r="D48" s="306"/>
      <c r="E48" s="306"/>
      <c r="F48" s="307">
        <f>F44-F45-F46-F47</f>
        <v>53651297.199022181</v>
      </c>
      <c r="G48" s="312"/>
      <c r="H48" s="306"/>
      <c r="I48" s="312"/>
      <c r="J48" s="312"/>
      <c r="K48" s="312"/>
      <c r="L48" s="312"/>
      <c r="M48" s="312"/>
      <c r="N48" s="312"/>
      <c r="O48" s="306"/>
      <c r="P48" s="312"/>
      <c r="Q48" s="306"/>
      <c r="R48" s="232"/>
      <c r="S48" s="232"/>
    </row>
    <row r="49" spans="2:19">
      <c r="B49" s="232"/>
      <c r="C49" s="305"/>
      <c r="D49" s="306"/>
      <c r="E49" s="306"/>
      <c r="F49" s="298"/>
      <c r="G49" s="313"/>
      <c r="H49" s="314"/>
      <c r="I49" s="314"/>
      <c r="J49" s="314"/>
      <c r="K49" s="314"/>
      <c r="L49" s="314"/>
      <c r="M49" s="314"/>
      <c r="N49" s="314"/>
      <c r="O49" s="315"/>
      <c r="P49" s="314"/>
      <c r="Q49" s="316"/>
      <c r="R49" s="232"/>
      <c r="S49" s="232"/>
    </row>
    <row r="50" spans="2:19" ht="15.7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313"/>
      <c r="H50" s="314"/>
      <c r="I50" s="314"/>
      <c r="J50" s="314"/>
      <c r="K50" s="314"/>
      <c r="L50" s="314"/>
      <c r="M50" s="314"/>
      <c r="N50" s="314"/>
      <c r="O50" s="315"/>
      <c r="P50" s="314"/>
      <c r="Q50" s="306"/>
    </row>
    <row r="51" spans="2:19">
      <c r="B51" s="232"/>
      <c r="C51" s="305"/>
      <c r="D51" s="315"/>
      <c r="E51" s="315"/>
      <c r="F51" s="298"/>
      <c r="G51" s="313"/>
      <c r="H51" s="314"/>
      <c r="I51" s="314"/>
      <c r="J51" s="314"/>
      <c r="K51" s="314"/>
      <c r="L51" s="314"/>
      <c r="M51" s="314"/>
      <c r="N51" s="314"/>
      <c r="O51" s="315"/>
      <c r="P51" s="314"/>
      <c r="Q51" s="306"/>
    </row>
    <row r="52" spans="2:19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53651297.199022181</v>
      </c>
      <c r="G52" s="306"/>
      <c r="H52" s="306"/>
      <c r="I52" s="306"/>
      <c r="J52" s="306"/>
      <c r="K52" s="306"/>
      <c r="L52" s="306"/>
      <c r="M52" s="306"/>
      <c r="N52" s="306"/>
      <c r="O52" s="317"/>
      <c r="P52" s="318"/>
      <c r="Q52" s="319"/>
    </row>
    <row r="53" spans="2:19">
      <c r="B53" s="232"/>
      <c r="C53" s="253" t="s">
        <v>103</v>
      </c>
      <c r="D53" s="320"/>
      <c r="E53" s="311"/>
      <c r="F53" s="321">
        <f>E26</f>
        <v>44081465.654302746</v>
      </c>
      <c r="G53" s="311"/>
      <c r="H53" s="322"/>
      <c r="I53" s="311"/>
      <c r="J53" s="311"/>
      <c r="K53" s="311"/>
      <c r="L53" s="311"/>
      <c r="M53" s="311"/>
      <c r="N53" s="311"/>
      <c r="O53" s="311"/>
      <c r="P53" s="311"/>
      <c r="Q53" s="311"/>
    </row>
    <row r="54" spans="2:19" ht="12.75" customHeight="1">
      <c r="B54" s="232"/>
      <c r="C54" s="247" t="s">
        <v>26</v>
      </c>
      <c r="D54" s="306"/>
      <c r="E54" s="306"/>
      <c r="F54" s="323">
        <f>E37</f>
        <v>5484901.6051487243</v>
      </c>
      <c r="G54" s="232"/>
      <c r="H54" s="241"/>
      <c r="I54" s="232"/>
      <c r="J54" s="242"/>
      <c r="K54" s="232"/>
      <c r="L54" s="232"/>
      <c r="M54" s="232"/>
      <c r="N54" s="232"/>
      <c r="O54" s="232"/>
      <c r="P54" s="232"/>
      <c r="Q54" s="232"/>
    </row>
    <row r="55" spans="2:19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103217664.45847364</v>
      </c>
      <c r="G55" s="232"/>
      <c r="H55" s="241"/>
      <c r="I55" s="232"/>
      <c r="J55" s="242"/>
      <c r="K55" s="232"/>
      <c r="L55" s="232"/>
      <c r="M55" s="232"/>
      <c r="N55" s="232"/>
      <c r="O55" s="232"/>
      <c r="P55" s="232"/>
      <c r="Q55" s="232"/>
      <c r="R55" s="232"/>
      <c r="S55" s="232"/>
    </row>
    <row r="56" spans="2:19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232"/>
      <c r="H56" s="241"/>
      <c r="I56" s="232"/>
      <c r="J56" s="242"/>
      <c r="K56" s="232"/>
      <c r="L56" s="232"/>
      <c r="M56" s="232"/>
      <c r="N56" s="232"/>
      <c r="O56" s="232"/>
      <c r="P56" s="232"/>
      <c r="Q56" s="232"/>
      <c r="R56" s="232"/>
      <c r="S56" s="232"/>
    </row>
    <row r="57" spans="2:19">
      <c r="B57" s="232"/>
      <c r="C57" s="311" t="s">
        <v>27</v>
      </c>
      <c r="D57" s="240"/>
      <c r="E57" s="232"/>
      <c r="F57" s="327">
        <f>+F55+F56</f>
        <v>103217664.45847364</v>
      </c>
      <c r="G57" s="232"/>
      <c r="H57" s="241"/>
      <c r="I57" s="232"/>
      <c r="J57" s="242"/>
      <c r="K57" s="232"/>
      <c r="L57" s="232"/>
      <c r="M57" s="232"/>
      <c r="N57" s="232"/>
      <c r="O57" s="232"/>
      <c r="P57" s="232"/>
      <c r="Q57" s="232"/>
      <c r="R57" s="232"/>
      <c r="S57" s="232"/>
    </row>
    <row r="58" spans="2:19">
      <c r="B58" s="232"/>
      <c r="C58" s="247" t="str">
        <f>+S121</f>
        <v xml:space="preserve">   Less: Depreciation  (TCOS, ln 86)</v>
      </c>
      <c r="D58" s="240"/>
      <c r="E58" s="232"/>
      <c r="F58" s="328">
        <f>+R121</f>
        <v>23139785.281025421</v>
      </c>
      <c r="G58" s="232"/>
      <c r="H58" s="241"/>
      <c r="I58" s="232"/>
      <c r="J58" s="242"/>
      <c r="K58" s="232"/>
      <c r="L58" s="232"/>
      <c r="M58" s="232"/>
      <c r="N58" s="232"/>
      <c r="O58" s="232"/>
      <c r="P58" s="232"/>
      <c r="Q58" s="232"/>
      <c r="R58" s="232"/>
      <c r="S58" s="232"/>
    </row>
    <row r="59" spans="2:19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80077879.177448213</v>
      </c>
      <c r="G59" s="232"/>
      <c r="H59" s="241"/>
      <c r="I59" s="232"/>
      <c r="J59" s="242"/>
      <c r="K59" s="232"/>
      <c r="L59" s="232"/>
      <c r="M59" s="232"/>
      <c r="N59" s="232"/>
      <c r="O59" s="232"/>
      <c r="P59" s="232"/>
      <c r="Q59" s="232"/>
      <c r="R59" s="232"/>
      <c r="S59" s="232"/>
    </row>
    <row r="60" spans="2:19">
      <c r="B60" s="232"/>
      <c r="C60" s="232"/>
      <c r="D60" s="240"/>
      <c r="E60" s="232"/>
      <c r="F60" s="232"/>
      <c r="G60" s="232"/>
      <c r="H60" s="241"/>
      <c r="I60" s="232"/>
      <c r="J60" s="242"/>
      <c r="K60" s="232"/>
      <c r="L60" s="232"/>
      <c r="M60" s="232"/>
      <c r="N60" s="232"/>
      <c r="O60" s="232"/>
      <c r="P60" s="232"/>
      <c r="Q60" s="232"/>
      <c r="R60" s="232"/>
      <c r="S60" s="232"/>
    </row>
    <row r="61" spans="2:19" ht="15.75">
      <c r="B61" s="329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29"/>
      <c r="H61" s="333"/>
      <c r="I61" s="329"/>
      <c r="J61" s="242"/>
      <c r="K61" s="232"/>
      <c r="L61" s="232"/>
      <c r="M61" s="232"/>
      <c r="N61" s="232"/>
      <c r="O61" s="232"/>
      <c r="P61" s="232"/>
      <c r="Q61" s="232"/>
      <c r="R61" s="232"/>
      <c r="S61" s="232"/>
    </row>
    <row r="62" spans="2:19">
      <c r="B62" s="329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103217664.45847364</v>
      </c>
      <c r="G62" s="329"/>
      <c r="H62" s="333"/>
      <c r="I62" s="329"/>
      <c r="J62" s="242"/>
      <c r="K62" s="232"/>
      <c r="L62" s="232"/>
      <c r="M62" s="232"/>
      <c r="N62" s="232"/>
      <c r="O62" s="232"/>
      <c r="P62" s="232"/>
      <c r="Q62" s="232"/>
      <c r="R62" s="232"/>
      <c r="S62" s="232"/>
    </row>
    <row r="63" spans="2:19">
      <c r="B63" s="329"/>
      <c r="C63" s="324" t="s">
        <v>28</v>
      </c>
      <c r="D63" s="331"/>
      <c r="E63" s="331"/>
      <c r="F63" s="332"/>
      <c r="G63" s="329"/>
      <c r="H63" s="333"/>
      <c r="I63" s="329"/>
      <c r="J63" s="24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2:19">
      <c r="B64" s="329"/>
      <c r="C64" s="311" t="str">
        <f>+S122</f>
        <v xml:space="preserve">       Apportionment Factor to Texas (Worksheet K, ln 12)</v>
      </c>
      <c r="D64" s="295"/>
      <c r="E64" s="329"/>
      <c r="F64" s="334">
        <f>+R122</f>
        <v>0</v>
      </c>
      <c r="G64" s="329"/>
      <c r="H64" s="333"/>
      <c r="I64" s="329"/>
      <c r="J64" s="242"/>
      <c r="K64" s="232"/>
      <c r="L64" s="232"/>
      <c r="M64" s="232"/>
      <c r="N64" s="232"/>
      <c r="O64" s="232"/>
      <c r="P64" s="232"/>
      <c r="Q64" s="232"/>
      <c r="R64" s="232"/>
      <c r="S64" s="232"/>
    </row>
    <row r="65" spans="2:19">
      <c r="B65" s="329"/>
      <c r="C65" s="311" t="s">
        <v>29</v>
      </c>
      <c r="D65" s="295"/>
      <c r="E65" s="329"/>
      <c r="F65" s="332">
        <f>+F62*F64</f>
        <v>0</v>
      </c>
      <c r="G65" s="329"/>
      <c r="H65" s="333"/>
      <c r="I65" s="329"/>
      <c r="J65" s="242"/>
      <c r="K65" s="232"/>
      <c r="L65" s="232"/>
      <c r="M65" s="232"/>
      <c r="N65" s="232"/>
      <c r="O65" s="232"/>
      <c r="P65" s="232"/>
      <c r="Q65" s="232"/>
      <c r="R65" s="232"/>
      <c r="S65" s="232"/>
    </row>
    <row r="66" spans="2:19">
      <c r="B66" s="329"/>
      <c r="C66" s="311" t="s">
        <v>288</v>
      </c>
      <c r="D66" s="295"/>
      <c r="E66" s="329"/>
      <c r="F66" s="335">
        <v>0.22</v>
      </c>
      <c r="G66" s="329"/>
      <c r="H66" s="333"/>
      <c r="I66" s="329"/>
      <c r="J66" s="242"/>
      <c r="K66" s="232"/>
      <c r="L66" s="232"/>
      <c r="M66" s="232"/>
      <c r="N66" s="232"/>
      <c r="O66" s="232"/>
      <c r="P66" s="232"/>
      <c r="Q66" s="232"/>
      <c r="R66" s="232"/>
      <c r="S66" s="232"/>
    </row>
    <row r="67" spans="2:19">
      <c r="B67" s="329"/>
      <c r="C67" s="311" t="s">
        <v>30</v>
      </c>
      <c r="D67" s="295"/>
      <c r="E67" s="329"/>
      <c r="F67" s="332">
        <f>+F65*F66</f>
        <v>0</v>
      </c>
      <c r="G67" s="329"/>
      <c r="H67" s="333"/>
      <c r="I67" s="329"/>
      <c r="J67" s="242"/>
      <c r="K67" s="232"/>
      <c r="L67" s="232"/>
      <c r="M67" s="232"/>
      <c r="N67" s="232"/>
      <c r="O67" s="232"/>
      <c r="P67" s="232"/>
      <c r="Q67" s="232"/>
      <c r="R67" s="232"/>
      <c r="S67" s="232"/>
    </row>
    <row r="68" spans="2:19">
      <c r="B68" s="329"/>
      <c r="C68" s="311" t="s">
        <v>31</v>
      </c>
      <c r="D68" s="295"/>
      <c r="E68" s="329"/>
      <c r="F68" s="335">
        <v>0.01</v>
      </c>
      <c r="G68" s="329"/>
      <c r="H68" s="333"/>
      <c r="I68" s="329"/>
      <c r="J68" s="242"/>
      <c r="K68" s="232"/>
      <c r="L68" s="232"/>
      <c r="M68" s="232"/>
      <c r="N68" s="232"/>
      <c r="O68" s="232"/>
      <c r="P68" s="232"/>
      <c r="Q68" s="232"/>
      <c r="R68" s="232"/>
      <c r="S68" s="232"/>
    </row>
    <row r="69" spans="2:19">
      <c r="B69" s="329"/>
      <c r="C69" s="311" t="s">
        <v>32</v>
      </c>
      <c r="D69" s="295"/>
      <c r="E69" s="329"/>
      <c r="F69" s="332">
        <f>+F67*F68</f>
        <v>0</v>
      </c>
      <c r="G69" s="329"/>
      <c r="H69" s="333"/>
      <c r="I69" s="329"/>
      <c r="J69" s="242"/>
      <c r="K69" s="232"/>
      <c r="L69" s="232"/>
      <c r="M69" s="232"/>
      <c r="N69" s="232"/>
      <c r="O69" s="232"/>
      <c r="P69" s="232"/>
      <c r="Q69" s="232"/>
      <c r="R69" s="232"/>
      <c r="S69" s="232"/>
    </row>
    <row r="70" spans="2:19">
      <c r="B70" s="329"/>
      <c r="C70" s="311" t="s">
        <v>33</v>
      </c>
      <c r="D70" s="295"/>
      <c r="E70" s="329"/>
      <c r="F70" s="336">
        <f>+ROUND((F69*F66*F64)/(1-F68)*F68,0)</f>
        <v>0</v>
      </c>
      <c r="G70" s="329"/>
      <c r="H70" s="333"/>
      <c r="I70" s="329"/>
      <c r="J70" s="242"/>
      <c r="K70" s="232"/>
      <c r="L70" s="232"/>
      <c r="M70" s="232"/>
      <c r="N70" s="232"/>
      <c r="O70" s="232"/>
      <c r="P70" s="232"/>
      <c r="Q70" s="232"/>
      <c r="R70" s="232"/>
      <c r="S70" s="232"/>
    </row>
    <row r="71" spans="2:19">
      <c r="B71" s="329"/>
      <c r="C71" s="311" t="s">
        <v>34</v>
      </c>
      <c r="D71" s="295"/>
      <c r="E71" s="329"/>
      <c r="F71" s="332">
        <f>+F69+F70</f>
        <v>0</v>
      </c>
      <c r="G71" s="329"/>
      <c r="H71" s="333"/>
      <c r="I71" s="329"/>
      <c r="J71" s="242"/>
      <c r="K71" s="232"/>
      <c r="L71" s="232"/>
      <c r="M71" s="232"/>
      <c r="N71" s="232"/>
      <c r="O71" s="232"/>
      <c r="P71" s="232"/>
      <c r="Q71" s="232"/>
      <c r="R71" s="232"/>
      <c r="S71" s="232"/>
    </row>
    <row r="72" spans="2:19">
      <c r="B72" s="232"/>
      <c r="C72" s="232"/>
      <c r="D72" s="240"/>
      <c r="E72" s="232"/>
      <c r="F72" s="232"/>
      <c r="G72" s="232"/>
      <c r="H72" s="241"/>
      <c r="I72" s="232"/>
      <c r="J72" s="242"/>
      <c r="K72" s="232"/>
      <c r="L72" s="232"/>
      <c r="M72" s="232"/>
      <c r="N72" s="232"/>
      <c r="O72" s="232"/>
      <c r="P72" s="232"/>
      <c r="Q72" s="232"/>
      <c r="R72" s="232"/>
      <c r="S72" s="232"/>
    </row>
    <row r="73" spans="2:19" ht="15.7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41"/>
      <c r="I73" s="232"/>
      <c r="J73" s="242"/>
      <c r="K73" s="232"/>
      <c r="L73" s="232"/>
      <c r="M73" s="232"/>
      <c r="N73" s="232"/>
      <c r="O73" s="232"/>
      <c r="P73" s="232"/>
      <c r="Q73" s="232"/>
      <c r="R73" s="232"/>
      <c r="S73" s="232"/>
    </row>
    <row r="74" spans="2:19">
      <c r="B74" s="232"/>
      <c r="C74" s="232"/>
      <c r="D74" s="240"/>
      <c r="E74" s="232"/>
      <c r="F74" s="232"/>
      <c r="G74" s="232"/>
      <c r="H74" s="241"/>
      <c r="I74" s="232"/>
      <c r="J74" s="242"/>
      <c r="K74" s="232"/>
      <c r="L74" s="232"/>
      <c r="M74" s="232"/>
      <c r="N74" s="232"/>
      <c r="O74" s="232"/>
      <c r="P74" s="232"/>
      <c r="Q74" s="232"/>
      <c r="R74" s="232"/>
      <c r="S74" s="232"/>
    </row>
    <row r="75" spans="2:19">
      <c r="B75" s="232"/>
      <c r="C75" s="247" t="str">
        <f>+S123</f>
        <v xml:space="preserve">   Net Transmission Plant  (TCOS, ln 37)</v>
      </c>
      <c r="D75" s="240"/>
      <c r="E75" s="232"/>
      <c r="F75" s="296">
        <f>+R123</f>
        <v>742759983.69051278</v>
      </c>
      <c r="G75" s="245"/>
      <c r="H75" s="216"/>
      <c r="J75" s="195"/>
      <c r="P75" s="232"/>
      <c r="Q75" s="232"/>
      <c r="R75" s="232"/>
      <c r="S75" s="232"/>
    </row>
    <row r="76" spans="2:19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37">
        <f>F55</f>
        <v>103217664.45847364</v>
      </c>
      <c r="H76" s="216"/>
      <c r="J76" s="195"/>
      <c r="P76" s="232"/>
      <c r="Q76" s="232"/>
      <c r="R76" s="232"/>
      <c r="S76" s="232"/>
    </row>
    <row r="77" spans="2:19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0.13896503140304006</v>
      </c>
      <c r="H77" s="216"/>
      <c r="J77" s="195"/>
      <c r="P77" s="232"/>
      <c r="Q77" s="232"/>
      <c r="R77" s="232"/>
      <c r="S77" s="232"/>
    </row>
    <row r="78" spans="2:19">
      <c r="B78" s="232"/>
      <c r="D78" s="240"/>
      <c r="E78" s="232"/>
      <c r="F78" s="329"/>
      <c r="H78" s="216"/>
      <c r="J78" s="195"/>
      <c r="P78" s="232"/>
      <c r="Q78" s="232"/>
      <c r="R78" s="232"/>
      <c r="S78" s="232"/>
    </row>
    <row r="79" spans="2:19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F59</f>
        <v>80077879.177448213</v>
      </c>
      <c r="G79" s="245"/>
      <c r="H79" s="216"/>
      <c r="J79" s="195"/>
      <c r="P79" s="232"/>
      <c r="Q79" s="232"/>
      <c r="R79" s="232"/>
      <c r="S79" s="232"/>
    </row>
    <row r="80" spans="2:19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0.10781124580725181</v>
      </c>
      <c r="G80" s="338"/>
      <c r="H80" s="216"/>
      <c r="J80" s="195"/>
      <c r="P80" s="232"/>
      <c r="Q80" s="232"/>
      <c r="R80" s="232"/>
      <c r="S80" s="232"/>
    </row>
    <row r="81" spans="2:19">
      <c r="B81" s="232"/>
      <c r="C81" s="247" t="str">
        <f>+S124</f>
        <v xml:space="preserve">   FCR less Depreciation  (TCOS, ln 10)</v>
      </c>
      <c r="D81" s="240"/>
      <c r="E81" s="232"/>
      <c r="F81" s="339">
        <f>+R124</f>
        <v>0.10781124580725182</v>
      </c>
      <c r="H81" s="216"/>
      <c r="J81" s="195"/>
      <c r="P81" s="232"/>
      <c r="Q81" s="232"/>
      <c r="R81" s="232"/>
      <c r="S81" s="232"/>
    </row>
    <row r="82" spans="2:19">
      <c r="B82" s="232"/>
      <c r="C82" s="641" t="str">
        <f>"   Incremental FCR with "&amp;F13&amp;" Basis Point ROE increase, less Depreciation"</f>
        <v xml:space="preserve">   Incremental FCR with 0 Basis Point ROE increase, less Depreciation</v>
      </c>
      <c r="D82" s="642"/>
      <c r="E82" s="642"/>
      <c r="F82" s="338">
        <f>F80-F81</f>
        <v>0</v>
      </c>
      <c r="H82" s="216"/>
      <c r="J82" s="195"/>
      <c r="P82" s="232"/>
      <c r="Q82" s="232"/>
      <c r="R82" s="232"/>
      <c r="S82" s="232"/>
    </row>
    <row r="83" spans="2:19">
      <c r="B83" s="232"/>
      <c r="C83" s="642"/>
      <c r="D83" s="642"/>
      <c r="E83" s="642"/>
      <c r="F83" s="338"/>
      <c r="G83" s="232"/>
      <c r="H83" s="241"/>
      <c r="I83" s="232"/>
      <c r="J83" s="242"/>
      <c r="K83" s="232"/>
      <c r="L83" s="232"/>
      <c r="M83" s="232"/>
      <c r="N83" s="232"/>
      <c r="O83" s="232"/>
      <c r="P83" s="232"/>
      <c r="Q83" s="232"/>
      <c r="R83" s="232"/>
      <c r="S83" s="232"/>
    </row>
    <row r="84" spans="2:19" ht="18.75">
      <c r="B84" s="302" t="s">
        <v>35</v>
      </c>
      <c r="C84" s="303" t="s">
        <v>36</v>
      </c>
      <c r="D84" s="240"/>
      <c r="E84" s="232"/>
      <c r="F84" s="338"/>
      <c r="G84" s="232"/>
      <c r="H84" s="241"/>
      <c r="I84" s="232"/>
      <c r="J84" s="242"/>
      <c r="K84" s="232"/>
      <c r="L84" s="232"/>
      <c r="M84" s="232"/>
      <c r="N84" s="232"/>
      <c r="O84" s="232"/>
      <c r="P84" s="232"/>
      <c r="Q84" s="232"/>
      <c r="R84" s="232"/>
      <c r="S84" s="232"/>
    </row>
    <row r="85" spans="2:19" ht="12.75" customHeight="1">
      <c r="B85" s="302"/>
      <c r="C85" s="303"/>
      <c r="D85" s="240"/>
      <c r="E85" s="232"/>
      <c r="F85" s="338"/>
      <c r="G85" s="232"/>
      <c r="H85" s="241"/>
      <c r="I85" s="232"/>
      <c r="J85" s="242"/>
      <c r="K85" s="232"/>
      <c r="L85" s="232"/>
      <c r="M85" s="232"/>
      <c r="N85" s="232"/>
      <c r="O85" s="232"/>
      <c r="P85" s="232"/>
      <c r="Q85" s="232"/>
      <c r="R85" s="232"/>
      <c r="S85" s="232"/>
    </row>
    <row r="86" spans="2:19" ht="12.75" customHeight="1">
      <c r="B86" s="302"/>
      <c r="C86" s="311" t="s">
        <v>37</v>
      </c>
      <c r="D86" s="240"/>
      <c r="F86" s="333">
        <f>+R125</f>
        <v>1120419325.7307799</v>
      </c>
      <c r="G86" s="232" t="s">
        <v>283</v>
      </c>
      <c r="H86" s="241"/>
      <c r="I86" s="232"/>
      <c r="J86" s="242"/>
      <c r="K86" s="232"/>
      <c r="L86" s="232"/>
      <c r="M86" s="232"/>
      <c r="N86" s="232"/>
      <c r="O86" s="232"/>
      <c r="P86" s="232"/>
      <c r="Q86" s="232"/>
      <c r="R86" s="232"/>
      <c r="S86" s="232"/>
    </row>
    <row r="87" spans="2:19" ht="12.75" customHeight="1">
      <c r="B87" s="302"/>
      <c r="C87" s="311" t="s">
        <v>38</v>
      </c>
      <c r="D87" s="240"/>
      <c r="F87" s="340">
        <f>R126</f>
        <v>1187983423.1752901</v>
      </c>
      <c r="G87" s="232" t="s">
        <v>283</v>
      </c>
      <c r="H87" s="241"/>
      <c r="I87" s="232"/>
      <c r="J87" s="242"/>
      <c r="K87" s="232"/>
      <c r="L87" s="232"/>
      <c r="M87" s="232"/>
      <c r="N87" s="232"/>
      <c r="O87" s="232"/>
      <c r="P87" s="232"/>
      <c r="Q87" s="232"/>
      <c r="R87" s="232"/>
      <c r="S87" s="232"/>
    </row>
    <row r="88" spans="2:19">
      <c r="B88" s="232"/>
      <c r="C88" s="311"/>
      <c r="D88" s="240"/>
      <c r="F88" s="241">
        <f>+F87+F86</f>
        <v>2308402748.9060698</v>
      </c>
      <c r="G88" s="296"/>
      <c r="H88" s="241"/>
      <c r="I88" s="232"/>
      <c r="J88" s="242"/>
      <c r="K88" s="232"/>
      <c r="L88" s="232"/>
      <c r="M88" s="232"/>
      <c r="N88" s="232"/>
      <c r="O88" s="232"/>
      <c r="P88" s="232"/>
      <c r="Q88" s="232"/>
      <c r="R88" s="232"/>
      <c r="S88" s="232"/>
    </row>
    <row r="89" spans="2:19">
      <c r="B89" s="232"/>
      <c r="C89" s="311" t="str">
        <f>S127</f>
        <v>Transmission Plant Average Balance for 2022 (WS A-1 Ln 14 Col (d))</v>
      </c>
      <c r="D89" s="295"/>
      <c r="E89" s="155"/>
      <c r="F89" s="322">
        <f>+F88/2</f>
        <v>1154201374.4530349</v>
      </c>
      <c r="G89" s="341"/>
      <c r="H89" s="241"/>
      <c r="I89" s="232"/>
      <c r="J89" s="242"/>
      <c r="K89" s="232"/>
      <c r="L89" s="232"/>
      <c r="M89" s="232"/>
      <c r="N89" s="232"/>
      <c r="O89" s="232"/>
      <c r="P89" s="232"/>
      <c r="Q89" s="232"/>
      <c r="R89" s="232"/>
      <c r="S89" s="232"/>
    </row>
    <row r="90" spans="2:19">
      <c r="B90" s="232"/>
      <c r="C90" s="247" t="str">
        <f>S128</f>
        <v>Annual Depreciation Expense  (TCOS, ln 86)</v>
      </c>
      <c r="D90" s="295"/>
      <c r="E90" s="329"/>
      <c r="F90" s="322">
        <f>R128</f>
        <v>27316908.915958099</v>
      </c>
      <c r="G90" s="232"/>
      <c r="H90" s="241"/>
      <c r="I90" s="232"/>
      <c r="J90" s="242"/>
      <c r="K90" s="232"/>
      <c r="L90" s="232"/>
      <c r="M90" s="232"/>
      <c r="N90" s="232"/>
      <c r="O90" s="232"/>
      <c r="P90" s="232"/>
      <c r="Q90" s="232"/>
      <c r="R90" s="232"/>
      <c r="S90" s="232"/>
    </row>
    <row r="91" spans="2:19">
      <c r="B91" s="232"/>
      <c r="C91" s="311" t="s">
        <v>39</v>
      </c>
      <c r="D91" s="240"/>
      <c r="E91" s="232"/>
      <c r="F91" s="338">
        <f>IF(F89=0,0,F90/F89)</f>
        <v>2.3667368208518488E-2</v>
      </c>
      <c r="G91" s="232"/>
      <c r="H91" s="342"/>
      <c r="I91" s="232"/>
      <c r="J91" s="242"/>
      <c r="K91" s="232"/>
      <c r="L91" s="232"/>
      <c r="M91" s="232"/>
      <c r="N91" s="232"/>
      <c r="O91" s="232"/>
      <c r="P91" s="232"/>
      <c r="Q91" s="232"/>
      <c r="R91" s="232"/>
      <c r="S91" s="232"/>
    </row>
    <row r="92" spans="2:19">
      <c r="B92" s="232"/>
      <c r="C92" s="311" t="s">
        <v>40</v>
      </c>
      <c r="D92" s="240"/>
      <c r="E92" s="232"/>
      <c r="F92" s="343">
        <f>IF(F91=0,0,1/F91)</f>
        <v>42.252268659093012</v>
      </c>
      <c r="H92" s="241"/>
      <c r="I92" s="232"/>
      <c r="J92" s="242"/>
      <c r="K92" s="232"/>
      <c r="L92" s="232"/>
      <c r="M92" s="232"/>
      <c r="N92" s="232"/>
      <c r="O92" s="232"/>
      <c r="P92" s="232"/>
      <c r="Q92" s="232"/>
      <c r="R92" s="232"/>
      <c r="S92" s="232"/>
    </row>
    <row r="93" spans="2:19">
      <c r="B93" s="232"/>
      <c r="C93" s="311" t="s">
        <v>41</v>
      </c>
      <c r="D93" s="240"/>
      <c r="E93" s="232"/>
      <c r="F93" s="344">
        <f>ROUND(F92,0)</f>
        <v>42</v>
      </c>
      <c r="G93" s="232"/>
      <c r="H93" s="241"/>
      <c r="I93" s="232"/>
      <c r="J93" s="242"/>
      <c r="K93" s="232"/>
      <c r="L93" s="232"/>
      <c r="M93" s="232"/>
      <c r="N93" s="232"/>
      <c r="O93" s="232"/>
      <c r="P93" s="232"/>
      <c r="Q93" s="232"/>
      <c r="R93" s="232"/>
      <c r="S93" s="232"/>
    </row>
    <row r="94" spans="2:19">
      <c r="C94" s="345"/>
      <c r="D94" s="346"/>
      <c r="E94" s="346"/>
      <c r="F94" s="346"/>
      <c r="G94" s="347"/>
      <c r="H94" s="347"/>
      <c r="I94" s="348"/>
      <c r="J94" s="348"/>
      <c r="K94" s="348"/>
      <c r="L94" s="348"/>
      <c r="M94" s="348"/>
      <c r="N94" s="348"/>
      <c r="O94" s="242"/>
      <c r="P94" s="242"/>
      <c r="Q94" s="232"/>
      <c r="R94" s="232"/>
      <c r="S94" s="232"/>
    </row>
    <row r="95" spans="2:19">
      <c r="C95" s="345"/>
      <c r="D95" s="346"/>
      <c r="E95" s="346"/>
      <c r="F95" s="346"/>
      <c r="G95" s="347"/>
      <c r="H95" s="347"/>
      <c r="I95" s="348"/>
      <c r="J95" s="348"/>
      <c r="K95" s="348"/>
      <c r="L95" s="348"/>
      <c r="M95" s="348"/>
      <c r="N95" s="348"/>
      <c r="O95" s="242"/>
      <c r="P95" s="242"/>
      <c r="Q95" s="232"/>
      <c r="R95" s="232"/>
      <c r="S95" s="232"/>
    </row>
    <row r="96" spans="2:19">
      <c r="J96" s="195"/>
      <c r="P96" s="232"/>
      <c r="Q96" s="232"/>
      <c r="R96" s="232"/>
      <c r="S96" s="232"/>
    </row>
    <row r="97" spans="3:19">
      <c r="J97" s="195"/>
      <c r="P97" s="232"/>
      <c r="Q97" s="232"/>
      <c r="R97" s="349" t="s">
        <v>126</v>
      </c>
      <c r="S97" s="148" t="s">
        <v>127</v>
      </c>
    </row>
    <row r="98" spans="3:19">
      <c r="J98" s="195"/>
      <c r="P98" s="232"/>
      <c r="Q98" s="232"/>
    </row>
    <row r="99" spans="3:19">
      <c r="C99" s="239" t="s">
        <v>122</v>
      </c>
      <c r="J99" s="195"/>
      <c r="L99" s="239" t="s">
        <v>121</v>
      </c>
      <c r="P99" s="232"/>
      <c r="Q99" s="232"/>
    </row>
    <row r="100" spans="3:19">
      <c r="J100" s="195"/>
      <c r="P100" s="232"/>
      <c r="Q100" s="232"/>
      <c r="S100" s="233" t="s">
        <v>119</v>
      </c>
    </row>
    <row r="101" spans="3:19">
      <c r="J101" s="195"/>
      <c r="P101" s="232"/>
      <c r="Q101" s="232"/>
      <c r="R101" s="349" t="s">
        <v>115</v>
      </c>
      <c r="S101" s="203" t="s">
        <v>120</v>
      </c>
    </row>
    <row r="102" spans="3:19" ht="13.5" thickBot="1">
      <c r="J102" s="195"/>
      <c r="P102" s="232"/>
      <c r="Q102" s="232"/>
      <c r="R102" s="350" t="s">
        <v>142</v>
      </c>
    </row>
    <row r="103" spans="3:19">
      <c r="J103" s="195"/>
      <c r="P103" s="232"/>
      <c r="Q103" s="232"/>
      <c r="R103" s="351" t="s">
        <v>289</v>
      </c>
      <c r="S103" s="352" t="s">
        <v>143</v>
      </c>
    </row>
    <row r="104" spans="3:19">
      <c r="J104" s="195"/>
      <c r="P104" s="232"/>
      <c r="Q104" s="232"/>
      <c r="R104" s="353">
        <v>2022</v>
      </c>
      <c r="S104" s="354" t="s">
        <v>355</v>
      </c>
    </row>
    <row r="105" spans="3:19">
      <c r="J105" s="195"/>
      <c r="P105" s="232"/>
      <c r="Q105" s="232"/>
      <c r="R105" s="355">
        <v>0.105</v>
      </c>
      <c r="S105" s="354" t="s">
        <v>356</v>
      </c>
    </row>
    <row r="106" spans="3:19">
      <c r="J106" s="195"/>
      <c r="P106" s="232"/>
      <c r="Q106" s="232"/>
      <c r="R106" s="356">
        <v>0</v>
      </c>
      <c r="S106" s="354" t="s">
        <v>1</v>
      </c>
    </row>
    <row r="107" spans="3:19">
      <c r="J107" s="195"/>
      <c r="P107" s="232"/>
      <c r="Q107" s="232"/>
      <c r="R107" s="357">
        <v>0.46528590554198529</v>
      </c>
      <c r="S107" s="358" t="s">
        <v>109</v>
      </c>
    </row>
    <row r="108" spans="3:19">
      <c r="J108" s="195"/>
      <c r="P108" s="232"/>
      <c r="Q108" s="232"/>
      <c r="R108" s="357">
        <v>3.6100419315000257E-2</v>
      </c>
      <c r="S108" s="358" t="s">
        <v>110</v>
      </c>
    </row>
    <row r="109" spans="3:19">
      <c r="J109" s="195"/>
      <c r="P109" s="232"/>
      <c r="Q109" s="232"/>
      <c r="R109" s="357">
        <v>0</v>
      </c>
      <c r="S109" s="358" t="s">
        <v>111</v>
      </c>
    </row>
    <row r="110" spans="3:19">
      <c r="J110" s="195"/>
      <c r="P110" s="232"/>
      <c r="Q110" s="232"/>
      <c r="R110" s="357">
        <v>0</v>
      </c>
      <c r="S110" s="358" t="s">
        <v>112</v>
      </c>
    </row>
    <row r="111" spans="3:19">
      <c r="J111" s="195"/>
      <c r="P111" s="232"/>
      <c r="Q111" s="232"/>
      <c r="R111" s="357">
        <v>0.53471409445801488</v>
      </c>
      <c r="S111" s="359" t="s">
        <v>113</v>
      </c>
    </row>
    <row r="112" spans="3:19">
      <c r="J112" s="195"/>
      <c r="P112" s="232"/>
      <c r="Q112" s="232"/>
      <c r="R112" s="360">
        <v>604335882.55089986</v>
      </c>
      <c r="S112" s="361" t="s">
        <v>357</v>
      </c>
    </row>
    <row r="113" spans="3:19">
      <c r="J113" s="195"/>
      <c r="P113" s="232"/>
      <c r="Q113" s="232"/>
      <c r="R113" s="362">
        <v>0.24065199999999998</v>
      </c>
      <c r="S113" s="363" t="s">
        <v>358</v>
      </c>
    </row>
    <row r="114" spans="3:19">
      <c r="J114" s="195"/>
      <c r="P114" s="232"/>
      <c r="Q114" s="232"/>
      <c r="R114" s="360">
        <v>-309556.88283684372</v>
      </c>
      <c r="S114" s="363" t="s">
        <v>359</v>
      </c>
    </row>
    <row r="115" spans="3:19">
      <c r="J115" s="195"/>
      <c r="P115" s="232"/>
      <c r="Q115" s="232"/>
      <c r="R115" s="360">
        <v>-5050742.2565344656</v>
      </c>
      <c r="S115" s="363" t="s">
        <v>324</v>
      </c>
    </row>
    <row r="116" spans="3:19">
      <c r="J116" s="195"/>
      <c r="P116" s="232"/>
      <c r="Q116" s="232"/>
      <c r="R116" s="360">
        <v>91995.52734714518</v>
      </c>
      <c r="S116" s="363" t="s">
        <v>360</v>
      </c>
    </row>
    <row r="117" spans="3:19">
      <c r="C117" s="232"/>
      <c r="D117" s="240"/>
      <c r="E117" s="232"/>
      <c r="F117" s="232"/>
      <c r="G117" s="232"/>
      <c r="H117" s="241"/>
      <c r="I117" s="232"/>
      <c r="J117" s="242"/>
      <c r="K117" s="232"/>
      <c r="L117" s="232"/>
      <c r="M117" s="232"/>
      <c r="N117" s="232"/>
      <c r="O117" s="232"/>
      <c r="P117" s="232"/>
      <c r="Q117" s="232"/>
      <c r="R117" s="360">
        <v>103217664.45847365</v>
      </c>
      <c r="S117" s="363" t="s">
        <v>361</v>
      </c>
    </row>
    <row r="118" spans="3:19">
      <c r="C118" s="232"/>
      <c r="D118" s="240"/>
      <c r="E118" s="232"/>
      <c r="F118" s="232"/>
      <c r="G118" s="232"/>
      <c r="H118" s="241"/>
      <c r="I118" s="232"/>
      <c r="J118" s="242"/>
      <c r="K118" s="232"/>
      <c r="L118" s="232"/>
      <c r="M118" s="232"/>
      <c r="N118" s="232"/>
      <c r="O118" s="232"/>
      <c r="P118" s="232"/>
      <c r="Q118" s="232"/>
      <c r="R118" s="360">
        <v>44081465.654302746</v>
      </c>
      <c r="S118" s="363" t="s">
        <v>362</v>
      </c>
    </row>
    <row r="119" spans="3:19">
      <c r="C119" s="232"/>
      <c r="D119" s="240"/>
      <c r="E119" s="232"/>
      <c r="F119" s="232"/>
      <c r="G119" s="232"/>
      <c r="H119" s="241"/>
      <c r="I119" s="232"/>
      <c r="J119" s="242"/>
      <c r="K119" s="232"/>
      <c r="L119" s="232"/>
      <c r="M119" s="232"/>
      <c r="N119" s="232"/>
      <c r="O119" s="232"/>
      <c r="P119" s="232"/>
      <c r="Q119" s="232"/>
      <c r="R119" s="360">
        <v>5484901.6051487243</v>
      </c>
      <c r="S119" s="363" t="s">
        <v>363</v>
      </c>
    </row>
    <row r="120" spans="3:19">
      <c r="C120" s="232"/>
      <c r="D120" s="240"/>
      <c r="E120" s="232"/>
      <c r="F120" s="232"/>
      <c r="G120" s="232"/>
      <c r="H120" s="241"/>
      <c r="I120" s="232"/>
      <c r="J120" s="242"/>
      <c r="K120" s="232"/>
      <c r="L120" s="232"/>
      <c r="M120" s="232"/>
      <c r="N120" s="232"/>
      <c r="O120" s="232"/>
      <c r="P120" s="232"/>
      <c r="Q120" s="232"/>
      <c r="R120" s="360">
        <v>0</v>
      </c>
      <c r="S120" s="363" t="s">
        <v>364</v>
      </c>
    </row>
    <row r="121" spans="3:19">
      <c r="C121" s="232"/>
      <c r="D121" s="240"/>
      <c r="E121" s="232"/>
      <c r="F121" s="232"/>
      <c r="G121" s="232"/>
      <c r="H121" s="241"/>
      <c r="I121" s="232"/>
      <c r="J121" s="242"/>
      <c r="K121" s="232"/>
      <c r="L121" s="232"/>
      <c r="M121" s="232"/>
      <c r="N121" s="232"/>
      <c r="O121" s="232"/>
      <c r="P121" s="232"/>
      <c r="Q121" s="232"/>
      <c r="R121" s="360">
        <v>23139785.281025421</v>
      </c>
      <c r="S121" s="363" t="s">
        <v>365</v>
      </c>
    </row>
    <row r="122" spans="3:19">
      <c r="C122" s="232"/>
      <c r="D122" s="240"/>
      <c r="E122" s="232"/>
      <c r="F122" s="232"/>
      <c r="G122" s="232"/>
      <c r="H122" s="241"/>
      <c r="I122" s="232"/>
      <c r="J122" s="242"/>
      <c r="K122" s="232"/>
      <c r="L122" s="232"/>
      <c r="M122" s="232"/>
      <c r="N122" s="232"/>
      <c r="O122" s="232"/>
      <c r="P122" s="232"/>
      <c r="Q122" s="232"/>
      <c r="R122" s="362">
        <v>0</v>
      </c>
      <c r="S122" s="363" t="s">
        <v>118</v>
      </c>
    </row>
    <row r="123" spans="3:19">
      <c r="C123" s="232"/>
      <c r="D123" s="240"/>
      <c r="E123" s="232"/>
      <c r="F123" s="232"/>
      <c r="G123" s="232"/>
      <c r="H123" s="241"/>
      <c r="I123" s="232"/>
      <c r="J123" s="242"/>
      <c r="K123" s="232"/>
      <c r="L123" s="232"/>
      <c r="M123" s="232"/>
      <c r="N123" s="232"/>
      <c r="O123" s="232"/>
      <c r="P123" s="232"/>
      <c r="Q123" s="232"/>
      <c r="R123" s="360">
        <v>742759983.69051278</v>
      </c>
      <c r="S123" s="363" t="s">
        <v>329</v>
      </c>
    </row>
    <row r="124" spans="3:19">
      <c r="C124" s="232"/>
      <c r="D124" s="240"/>
      <c r="E124" s="232"/>
      <c r="F124" s="232"/>
      <c r="G124" s="232"/>
      <c r="H124" s="241"/>
      <c r="I124" s="232"/>
      <c r="J124" s="242"/>
      <c r="K124" s="232"/>
      <c r="L124" s="232"/>
      <c r="M124" s="232"/>
      <c r="N124" s="232"/>
      <c r="O124" s="232"/>
      <c r="P124" s="232"/>
      <c r="Q124" s="232"/>
      <c r="R124" s="364">
        <v>0.10781124580725182</v>
      </c>
      <c r="S124" s="365" t="s">
        <v>366</v>
      </c>
    </row>
    <row r="125" spans="3:19">
      <c r="C125" s="232"/>
      <c r="D125" s="240"/>
      <c r="E125" s="232"/>
      <c r="F125" s="232"/>
      <c r="G125" s="232"/>
      <c r="H125" s="241"/>
      <c r="I125" s="232"/>
      <c r="J125" s="242"/>
      <c r="K125" s="232"/>
      <c r="L125" s="232"/>
      <c r="M125" s="232"/>
      <c r="N125" s="232"/>
      <c r="O125" s="232"/>
      <c r="P125" s="232"/>
      <c r="Q125" s="232"/>
      <c r="R125" s="366">
        <v>1120419325.7307799</v>
      </c>
      <c r="S125" s="358" t="s">
        <v>37</v>
      </c>
    </row>
    <row r="126" spans="3:19">
      <c r="C126" s="232"/>
      <c r="D126" s="240"/>
      <c r="E126" s="232"/>
      <c r="F126" s="232"/>
      <c r="G126" s="232"/>
      <c r="H126" s="241"/>
      <c r="I126" s="232"/>
      <c r="J126" s="242"/>
      <c r="K126" s="232"/>
      <c r="L126" s="232"/>
      <c r="M126" s="232"/>
      <c r="N126" s="232"/>
      <c r="O126" s="232"/>
      <c r="P126" s="232"/>
      <c r="Q126" s="232"/>
      <c r="R126" s="366">
        <v>1187983423.1752901</v>
      </c>
      <c r="S126" s="359" t="s">
        <v>38</v>
      </c>
    </row>
    <row r="127" spans="3:19">
      <c r="C127" s="232"/>
      <c r="D127" s="240"/>
      <c r="E127" s="232"/>
      <c r="F127" s="232"/>
      <c r="G127" s="232"/>
      <c r="H127" s="241"/>
      <c r="I127" s="232"/>
      <c r="J127" s="242"/>
      <c r="K127" s="232"/>
      <c r="L127" s="232"/>
      <c r="M127" s="232"/>
      <c r="N127" s="232"/>
      <c r="O127" s="232"/>
      <c r="P127" s="232"/>
      <c r="Q127" s="232"/>
      <c r="R127" s="366">
        <v>1139258524.5219979</v>
      </c>
      <c r="S127" s="367" t="s">
        <v>381</v>
      </c>
    </row>
    <row r="128" spans="3:19" ht="13.5" thickBot="1">
      <c r="C128" s="232"/>
      <c r="D128" s="240"/>
      <c r="E128" s="232"/>
      <c r="F128" s="232"/>
      <c r="G128" s="232"/>
      <c r="H128" s="241"/>
      <c r="I128" s="232"/>
      <c r="J128" s="242"/>
      <c r="K128" s="232"/>
      <c r="L128" s="232"/>
      <c r="M128" s="232"/>
      <c r="N128" s="232"/>
      <c r="O128" s="232"/>
      <c r="P128" s="232"/>
      <c r="Q128" s="232"/>
      <c r="R128" s="368">
        <v>27316908.915958099</v>
      </c>
      <c r="S128" s="369" t="s">
        <v>367</v>
      </c>
    </row>
    <row r="129" spans="3:19">
      <c r="C129" s="232"/>
      <c r="D129" s="240"/>
      <c r="E129" s="232"/>
      <c r="F129" s="232"/>
      <c r="G129" s="232"/>
      <c r="H129" s="241"/>
      <c r="I129" s="232"/>
      <c r="J129" s="242"/>
      <c r="K129" s="232"/>
      <c r="L129" s="232"/>
      <c r="M129" s="232"/>
      <c r="N129" s="232"/>
      <c r="O129" s="232"/>
      <c r="P129" s="232"/>
      <c r="Q129" s="232"/>
      <c r="R129" s="232"/>
      <c r="S129" s="232"/>
    </row>
    <row r="130" spans="3:19">
      <c r="C130" s="232"/>
      <c r="D130" s="240"/>
      <c r="E130" s="232"/>
      <c r="F130" s="232"/>
      <c r="G130" s="232"/>
      <c r="H130" s="241"/>
      <c r="I130" s="232"/>
      <c r="J130" s="242"/>
      <c r="K130" s="232"/>
      <c r="L130" s="232"/>
      <c r="M130" s="232"/>
      <c r="N130" s="232"/>
      <c r="O130" s="232"/>
      <c r="P130" s="232"/>
      <c r="Q130" s="232"/>
      <c r="R130" s="349" t="s">
        <v>116</v>
      </c>
      <c r="S130" s="232" t="s">
        <v>130</v>
      </c>
    </row>
    <row r="131" spans="3:19" ht="13.5" thickBot="1">
      <c r="C131" s="311"/>
      <c r="D131" s="320"/>
      <c r="E131" s="311"/>
      <c r="F131" s="311"/>
      <c r="G131" s="311"/>
      <c r="H131" s="322"/>
      <c r="I131" s="232"/>
      <c r="J131" s="242"/>
      <c r="K131" s="232"/>
      <c r="L131" s="232"/>
      <c r="M131" s="232"/>
      <c r="N131" s="232"/>
      <c r="O131" s="232"/>
      <c r="P131" s="232"/>
      <c r="Q131" s="232"/>
      <c r="R131" s="350" t="s">
        <v>114</v>
      </c>
      <c r="S131" s="232"/>
    </row>
    <row r="132" spans="3:19">
      <c r="C132" s="311"/>
      <c r="D132" s="320"/>
      <c r="E132" s="311"/>
      <c r="F132" s="311"/>
      <c r="G132" s="311"/>
      <c r="H132" s="322"/>
      <c r="I132" s="232"/>
      <c r="J132" s="242"/>
      <c r="K132" s="232"/>
      <c r="L132" s="232"/>
      <c r="M132" s="232"/>
      <c r="N132" s="232"/>
      <c r="O132" s="232"/>
      <c r="P132" s="232"/>
      <c r="Q132" s="232"/>
      <c r="R132" s="370">
        <f>+M19</f>
        <v>8173098.1037967186</v>
      </c>
      <c r="S132" s="232" t="str">
        <f>+K19&amp;" "&amp;M17</f>
        <v>PROJECTED YEAR Rev Require</v>
      </c>
    </row>
    <row r="133" spans="3:19">
      <c r="C133" s="311"/>
      <c r="D133" s="320"/>
      <c r="E133" s="311"/>
      <c r="F133" s="311"/>
      <c r="G133" s="311"/>
      <c r="H133" s="322"/>
      <c r="I133" s="232"/>
      <c r="J133" s="242"/>
      <c r="K133" s="232"/>
      <c r="L133" s="232"/>
      <c r="M133" s="232"/>
      <c r="N133" s="232"/>
      <c r="O133" s="232"/>
      <c r="P133" s="232"/>
      <c r="Q133" s="232"/>
      <c r="R133" s="371">
        <f>+N19</f>
        <v>8173098.1037967186</v>
      </c>
      <c r="S133" s="232" t="str">
        <f>K19&amp;" "&amp;N17</f>
        <v>PROJECTED YEAR  W Incentives</v>
      </c>
    </row>
    <row r="134" spans="3:19" ht="13.5" thickBot="1">
      <c r="C134" s="311"/>
      <c r="D134" s="320"/>
      <c r="E134" s="311"/>
      <c r="F134" s="311"/>
      <c r="G134" s="311"/>
      <c r="H134" s="322"/>
      <c r="I134" s="232"/>
      <c r="J134" s="242"/>
      <c r="K134" s="232"/>
      <c r="L134" s="232"/>
      <c r="M134" s="232"/>
      <c r="N134" s="232"/>
      <c r="O134" s="232"/>
      <c r="P134" s="232"/>
      <c r="Q134" s="232"/>
      <c r="R134" s="372">
        <f>+O19</f>
        <v>0</v>
      </c>
      <c r="S134" s="232" t="str">
        <f>K19&amp;" "&amp;O17</f>
        <v>PROJECTED YEAR Incentive Amounts</v>
      </c>
    </row>
    <row r="135" spans="3:19">
      <c r="C135" s="311"/>
      <c r="D135" s="320"/>
      <c r="E135" s="311"/>
      <c r="F135" s="311"/>
      <c r="G135" s="311"/>
      <c r="H135" s="322"/>
      <c r="I135" s="232"/>
      <c r="J135" s="242"/>
      <c r="K135" s="232"/>
      <c r="L135" s="232"/>
      <c r="M135" s="232"/>
      <c r="N135" s="232"/>
      <c r="O135" s="232"/>
      <c r="P135" s="232"/>
      <c r="Q135" s="232"/>
      <c r="R135" s="232"/>
      <c r="S135" s="232"/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129</v>
      </c>
    </row>
  </sheetData>
  <mergeCells count="8">
    <mergeCell ref="K15:O16"/>
    <mergeCell ref="C8:H8"/>
    <mergeCell ref="C82:E83"/>
    <mergeCell ref="A1:J1"/>
    <mergeCell ref="A2:J2"/>
    <mergeCell ref="A3:J3"/>
    <mergeCell ref="A5:J5"/>
    <mergeCell ref="A4:J4"/>
  </mergeCells>
  <phoneticPr fontId="0" type="noConversion"/>
  <printOptions horizontalCentered="1"/>
  <pageMargins left="0.25" right="0.25" top="0.75" bottom="0.25" header="0.25" footer="0.5"/>
  <pageSetup scale="41" fitToHeight="2" orientation="landscape" horizontalDpi="1200" verticalDpi="1200" r:id="rId1"/>
  <headerFooter alignWithMargins="0">
    <oddHeader xml:space="preserve">&amp;R&amp;16AEP - SPP Formula Rate
PSO TCOS - WS F
Page: &amp;P of &amp;N
</oddHeader>
    <oddFooter xml:space="preserve">&amp;C &amp;R 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P162"/>
  <sheetViews>
    <sheetView view="pageBreakPreview" topLeftCell="A7" zoomScale="80" zoomScaleNormal="100" zoomScaleSheetLayoutView="80" workbookViewId="0">
      <selection activeCell="E18" sqref="E18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17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193510.26190476189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193510.26190476189</v>
      </c>
      <c r="O6" s="232"/>
      <c r="P6" s="232"/>
    </row>
    <row r="7" spans="1:16" ht="13.5" thickBot="1">
      <c r="C7" s="431" t="s">
        <v>46</v>
      </c>
      <c r="D7" s="599" t="s">
        <v>265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290</v>
      </c>
      <c r="E9" s="577" t="s">
        <v>291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1692023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2015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40286.261904761908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2015</v>
      </c>
      <c r="D17" s="584">
        <v>1500000</v>
      </c>
      <c r="E17" s="608">
        <v>0</v>
      </c>
      <c r="F17" s="584">
        <v>1500000</v>
      </c>
      <c r="G17" s="608">
        <v>206807.48514960654</v>
      </c>
      <c r="H17" s="587">
        <v>206807.48514960654</v>
      </c>
      <c r="I17" s="475">
        <v>0</v>
      </c>
      <c r="J17" s="475"/>
      <c r="K17" s="476">
        <f t="shared" ref="K17:K22" si="0">G17</f>
        <v>206807.48514960654</v>
      </c>
      <c r="L17" s="603">
        <f t="shared" ref="L17:L22" si="1">IF(K17&lt;&gt;0,+G17-K17,0)</f>
        <v>0</v>
      </c>
      <c r="M17" s="476">
        <f t="shared" ref="M17:M22" si="2">H17</f>
        <v>206807.48514960654</v>
      </c>
      <c r="N17" s="478">
        <f>IF(M17&lt;&gt;0,+H17-M17,0)</f>
        <v>0</v>
      </c>
      <c r="O17" s="475">
        <f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2016</v>
      </c>
      <c r="D18" s="584">
        <v>1777912</v>
      </c>
      <c r="E18" s="585">
        <v>34190.615384615383</v>
      </c>
      <c r="F18" s="584">
        <v>1743721.3846153845</v>
      </c>
      <c r="G18" s="585">
        <v>262896.61538461538</v>
      </c>
      <c r="H18" s="587">
        <v>262896.61538461538</v>
      </c>
      <c r="I18" s="475">
        <f>H18-G18</f>
        <v>0</v>
      </c>
      <c r="J18" s="475"/>
      <c r="K18" s="476">
        <f t="shared" si="0"/>
        <v>262896.61538461538</v>
      </c>
      <c r="L18" s="603">
        <f t="shared" si="1"/>
        <v>0</v>
      </c>
      <c r="M18" s="476">
        <f t="shared" si="2"/>
        <v>262896.61538461538</v>
      </c>
      <c r="N18" s="478">
        <f>IF(M18&lt;&gt;0,+H18-M18,0)</f>
        <v>0</v>
      </c>
      <c r="O18" s="475">
        <f>+N18-L18</f>
        <v>0</v>
      </c>
      <c r="P18" s="242"/>
    </row>
    <row r="19" spans="2:16">
      <c r="B19" s="160" t="str">
        <f>IF(D19=F18,"","IU")</f>
        <v>IU</v>
      </c>
      <c r="C19" s="472">
        <f>IF(D11="","-",+C18+1)</f>
        <v>2017</v>
      </c>
      <c r="D19" s="584">
        <v>1657832.3846153845</v>
      </c>
      <c r="E19" s="585">
        <v>36783.108695652176</v>
      </c>
      <c r="F19" s="584">
        <v>1621049.2759197324</v>
      </c>
      <c r="G19" s="585">
        <v>243079.10869565216</v>
      </c>
      <c r="H19" s="587">
        <v>243079.10869565216</v>
      </c>
      <c r="I19" s="475">
        <f t="shared" ref="I19:I72" si="3">H19-G19</f>
        <v>0</v>
      </c>
      <c r="J19" s="475"/>
      <c r="K19" s="476">
        <f t="shared" si="0"/>
        <v>243079.10869565216</v>
      </c>
      <c r="L19" s="603">
        <f t="shared" si="1"/>
        <v>0</v>
      </c>
      <c r="M19" s="476">
        <f t="shared" si="2"/>
        <v>243079.10869565216</v>
      </c>
      <c r="N19" s="478">
        <f>IF(M19&lt;&gt;0,+H19-M19,0)</f>
        <v>0</v>
      </c>
      <c r="O19" s="475">
        <f>+N19-L19</f>
        <v>0</v>
      </c>
      <c r="P19" s="242"/>
    </row>
    <row r="20" spans="2:16">
      <c r="B20" s="160" t="str">
        <f t="shared" ref="B20:B72" si="4">IF(D20=F19,"","IU")</f>
        <v/>
      </c>
      <c r="C20" s="472">
        <f>IF(D11="","-",+C19+1)</f>
        <v>2018</v>
      </c>
      <c r="D20" s="584">
        <v>1621049.2759197324</v>
      </c>
      <c r="E20" s="585">
        <v>37600.511111111111</v>
      </c>
      <c r="F20" s="584">
        <v>1583448.7648086213</v>
      </c>
      <c r="G20" s="585">
        <v>229484.15653998824</v>
      </c>
      <c r="H20" s="587">
        <v>229484.15653998824</v>
      </c>
      <c r="I20" s="475">
        <f t="shared" si="3"/>
        <v>0</v>
      </c>
      <c r="J20" s="475"/>
      <c r="K20" s="476">
        <f t="shared" si="0"/>
        <v>229484.15653998824</v>
      </c>
      <c r="L20" s="603">
        <f t="shared" si="1"/>
        <v>0</v>
      </c>
      <c r="M20" s="476">
        <f t="shared" si="2"/>
        <v>229484.15653998824</v>
      </c>
      <c r="N20" s="478">
        <f>IF(M20&lt;&gt;0,+H20-M20,0)</f>
        <v>0</v>
      </c>
      <c r="O20" s="475">
        <f>+N20-L20</f>
        <v>0</v>
      </c>
      <c r="P20" s="242"/>
    </row>
    <row r="21" spans="2:16">
      <c r="B21" s="160" t="str">
        <f t="shared" si="4"/>
        <v/>
      </c>
      <c r="C21" s="472">
        <f>IF(D11="","-",+C20+1)</f>
        <v>2019</v>
      </c>
      <c r="D21" s="584">
        <v>1583448.7648086213</v>
      </c>
      <c r="E21" s="585">
        <v>42300.574999999997</v>
      </c>
      <c r="F21" s="584">
        <v>1541148.1898086213</v>
      </c>
      <c r="G21" s="585">
        <v>216741.56005757477</v>
      </c>
      <c r="H21" s="587">
        <v>216741.56005757477</v>
      </c>
      <c r="I21" s="475">
        <f t="shared" si="3"/>
        <v>0</v>
      </c>
      <c r="J21" s="475"/>
      <c r="K21" s="476">
        <f t="shared" si="0"/>
        <v>216741.56005757477</v>
      </c>
      <c r="L21" s="603">
        <f t="shared" si="1"/>
        <v>0</v>
      </c>
      <c r="M21" s="476">
        <f t="shared" si="2"/>
        <v>216741.56005757477</v>
      </c>
      <c r="N21" s="478">
        <f t="shared" ref="N21:N72" si="5">IF(M21&lt;&gt;0,+H21-M21,0)</f>
        <v>0</v>
      </c>
      <c r="O21" s="478">
        <f t="shared" ref="O21:O72" si="6">+N21-L21</f>
        <v>0</v>
      </c>
      <c r="P21" s="242"/>
    </row>
    <row r="22" spans="2:16">
      <c r="B22" s="160" t="str">
        <f t="shared" si="4"/>
        <v>IU</v>
      </c>
      <c r="C22" s="472">
        <f>IF(D11="","-",+C21+1)</f>
        <v>2020</v>
      </c>
      <c r="D22" s="584">
        <v>1545848.2536975101</v>
      </c>
      <c r="E22" s="585">
        <v>40286.261904761908</v>
      </c>
      <c r="F22" s="584">
        <v>1505561.9917927482</v>
      </c>
      <c r="G22" s="585">
        <v>205069.7033172223</v>
      </c>
      <c r="H22" s="587">
        <v>205069.7033172223</v>
      </c>
      <c r="I22" s="475">
        <f t="shared" si="3"/>
        <v>0</v>
      </c>
      <c r="J22" s="475"/>
      <c r="K22" s="476">
        <f t="shared" si="0"/>
        <v>205069.7033172223</v>
      </c>
      <c r="L22" s="603">
        <f t="shared" si="1"/>
        <v>0</v>
      </c>
      <c r="M22" s="476">
        <f t="shared" si="2"/>
        <v>205069.7033172223</v>
      </c>
      <c r="N22" s="478">
        <f t="shared" si="5"/>
        <v>0</v>
      </c>
      <c r="O22" s="478">
        <f t="shared" si="6"/>
        <v>0</v>
      </c>
      <c r="P22" s="242"/>
    </row>
    <row r="23" spans="2:16">
      <c r="B23" s="160" t="str">
        <f t="shared" si="4"/>
        <v>IU</v>
      </c>
      <c r="C23" s="472">
        <f>IF(D11="","-",+C22+1)</f>
        <v>2021</v>
      </c>
      <c r="D23" s="584">
        <v>1500861.9279038594</v>
      </c>
      <c r="E23" s="585">
        <v>39349.372093023259</v>
      </c>
      <c r="F23" s="584">
        <v>1461512.5558108361</v>
      </c>
      <c r="G23" s="585">
        <v>196932.37209302327</v>
      </c>
      <c r="H23" s="587">
        <v>196932.37209302327</v>
      </c>
      <c r="I23" s="475">
        <f t="shared" si="3"/>
        <v>0</v>
      </c>
      <c r="J23" s="475"/>
      <c r="K23" s="476">
        <f t="shared" ref="K23" si="7">G23</f>
        <v>196932.37209302327</v>
      </c>
      <c r="L23" s="603">
        <f t="shared" ref="L23" si="8">IF(K23&lt;&gt;0,+G23-K23,0)</f>
        <v>0</v>
      </c>
      <c r="M23" s="476">
        <f t="shared" ref="M23" si="9">H23</f>
        <v>196932.37209302327</v>
      </c>
      <c r="N23" s="478">
        <f t="shared" si="5"/>
        <v>0</v>
      </c>
      <c r="O23" s="478">
        <f t="shared" si="6"/>
        <v>0</v>
      </c>
      <c r="P23" s="242"/>
    </row>
    <row r="24" spans="2:16">
      <c r="B24" s="160" t="str">
        <f t="shared" si="4"/>
        <v/>
      </c>
      <c r="C24" s="472">
        <f>IF(D11="","-",+C23+1)</f>
        <v>2022</v>
      </c>
      <c r="D24" s="485">
        <f>IF(F23+SUM(E$17:E23)=D$10,F23,D$10-SUM(E$17:E23))</f>
        <v>1461512.5558108361</v>
      </c>
      <c r="E24" s="484">
        <f t="shared" ref="E24:E72" si="10">IF(+$I$14&lt;F23,$I$14,D24)</f>
        <v>40286.261904761908</v>
      </c>
      <c r="F24" s="485">
        <f t="shared" ref="F24:F72" si="11">+D24-E24</f>
        <v>1421226.2939060743</v>
      </c>
      <c r="G24" s="486">
        <f t="shared" ref="G24:G72" si="12">ROUND(I$12*F24,0)+E24</f>
        <v>193510.26190476189</v>
      </c>
      <c r="H24" s="455">
        <f t="shared" ref="H24:H72" si="13">ROUND(I$13*F24,0)+E24</f>
        <v>193510.26190476189</v>
      </c>
      <c r="I24" s="475">
        <f t="shared" si="3"/>
        <v>0</v>
      </c>
      <c r="J24" s="475"/>
      <c r="K24" s="487"/>
      <c r="L24" s="478">
        <f t="shared" ref="L24:L72" si="14">IF(K24&lt;&gt;0,+G24-K24,0)</f>
        <v>0</v>
      </c>
      <c r="M24" s="487"/>
      <c r="N24" s="478">
        <f t="shared" si="5"/>
        <v>0</v>
      </c>
      <c r="O24" s="478">
        <f t="shared" si="6"/>
        <v>0</v>
      </c>
      <c r="P24" s="242"/>
    </row>
    <row r="25" spans="2:16">
      <c r="B25" s="160" t="str">
        <f t="shared" si="4"/>
        <v/>
      </c>
      <c r="C25" s="472">
        <f>IF(D11="","-",+C24+1)</f>
        <v>2023</v>
      </c>
      <c r="D25" s="485">
        <f>IF(F24+SUM(E$17:E24)=D$10,F24,D$10-SUM(E$17:E24))</f>
        <v>1421226.2939060743</v>
      </c>
      <c r="E25" s="484">
        <f t="shared" si="10"/>
        <v>40286.261904761908</v>
      </c>
      <c r="F25" s="485">
        <f t="shared" si="11"/>
        <v>1380940.0320013124</v>
      </c>
      <c r="G25" s="486">
        <f t="shared" si="12"/>
        <v>189167.26190476189</v>
      </c>
      <c r="H25" s="455">
        <f t="shared" si="13"/>
        <v>189167.26190476189</v>
      </c>
      <c r="I25" s="475">
        <f t="shared" si="3"/>
        <v>0</v>
      </c>
      <c r="J25" s="475"/>
      <c r="K25" s="487"/>
      <c r="L25" s="478">
        <f t="shared" si="14"/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>
      <c r="B26" s="160" t="str">
        <f t="shared" si="4"/>
        <v/>
      </c>
      <c r="C26" s="472">
        <f>IF(D11="","-",+C25+1)</f>
        <v>2024</v>
      </c>
      <c r="D26" s="485">
        <f>IF(F25+SUM(E$17:E25)=D$10,F25,D$10-SUM(E$17:E25))</f>
        <v>1380940.0320013124</v>
      </c>
      <c r="E26" s="484">
        <f t="shared" si="10"/>
        <v>40286.261904761908</v>
      </c>
      <c r="F26" s="485">
        <f t="shared" si="11"/>
        <v>1340653.7700965505</v>
      </c>
      <c r="G26" s="486">
        <f t="shared" si="12"/>
        <v>184824.26190476189</v>
      </c>
      <c r="H26" s="455">
        <f t="shared" si="13"/>
        <v>184824.26190476189</v>
      </c>
      <c r="I26" s="475">
        <f t="shared" si="3"/>
        <v>0</v>
      </c>
      <c r="J26" s="475"/>
      <c r="K26" s="487"/>
      <c r="L26" s="478">
        <f t="shared" si="14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>
      <c r="B27" s="160" t="str">
        <f t="shared" si="4"/>
        <v/>
      </c>
      <c r="C27" s="472">
        <f>IF(D11="","-",+C26+1)</f>
        <v>2025</v>
      </c>
      <c r="D27" s="485">
        <f>IF(F26+SUM(E$17:E26)=D$10,F26,D$10-SUM(E$17:E26))</f>
        <v>1340653.7700965505</v>
      </c>
      <c r="E27" s="484">
        <f t="shared" si="10"/>
        <v>40286.261904761908</v>
      </c>
      <c r="F27" s="485">
        <f t="shared" si="11"/>
        <v>1300367.5081917886</v>
      </c>
      <c r="G27" s="486">
        <f t="shared" si="12"/>
        <v>180480.26190476189</v>
      </c>
      <c r="H27" s="455">
        <f t="shared" si="13"/>
        <v>180480.26190476189</v>
      </c>
      <c r="I27" s="475">
        <f t="shared" si="3"/>
        <v>0</v>
      </c>
      <c r="J27" s="475"/>
      <c r="K27" s="487"/>
      <c r="L27" s="478">
        <f t="shared" si="14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>
      <c r="B28" s="160" t="str">
        <f t="shared" si="4"/>
        <v/>
      </c>
      <c r="C28" s="472">
        <f>IF(D11="","-",+C27+1)</f>
        <v>2026</v>
      </c>
      <c r="D28" s="485">
        <f>IF(F27+SUM(E$17:E27)=D$10,F27,D$10-SUM(E$17:E27))</f>
        <v>1300367.5081917886</v>
      </c>
      <c r="E28" s="484">
        <f t="shared" si="10"/>
        <v>40286.261904761908</v>
      </c>
      <c r="F28" s="485">
        <f t="shared" si="11"/>
        <v>1260081.2462870267</v>
      </c>
      <c r="G28" s="486">
        <f t="shared" si="12"/>
        <v>176137.26190476189</v>
      </c>
      <c r="H28" s="455">
        <f t="shared" si="13"/>
        <v>176137.26190476189</v>
      </c>
      <c r="I28" s="475">
        <f t="shared" si="3"/>
        <v>0</v>
      </c>
      <c r="J28" s="475"/>
      <c r="K28" s="487"/>
      <c r="L28" s="478">
        <f t="shared" si="14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>
      <c r="B29" s="160" t="str">
        <f t="shared" si="4"/>
        <v/>
      </c>
      <c r="C29" s="472">
        <f>IF(D11="","-",+C28+1)</f>
        <v>2027</v>
      </c>
      <c r="D29" s="485">
        <f>IF(F28+SUM(E$17:E28)=D$10,F28,D$10-SUM(E$17:E28))</f>
        <v>1260081.2462870267</v>
      </c>
      <c r="E29" s="484">
        <f t="shared" si="10"/>
        <v>40286.261904761908</v>
      </c>
      <c r="F29" s="485">
        <f t="shared" si="11"/>
        <v>1219794.9843822648</v>
      </c>
      <c r="G29" s="486">
        <f t="shared" si="12"/>
        <v>171794.26190476189</v>
      </c>
      <c r="H29" s="455">
        <f t="shared" si="13"/>
        <v>171794.26190476189</v>
      </c>
      <c r="I29" s="475">
        <f t="shared" si="3"/>
        <v>0</v>
      </c>
      <c r="J29" s="475"/>
      <c r="K29" s="487"/>
      <c r="L29" s="478">
        <f t="shared" si="14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>
      <c r="B30" s="160" t="str">
        <f t="shared" si="4"/>
        <v/>
      </c>
      <c r="C30" s="472">
        <f>IF(D11="","-",+C29+1)</f>
        <v>2028</v>
      </c>
      <c r="D30" s="485">
        <f>IF(F29+SUM(E$17:E29)=D$10,F29,D$10-SUM(E$17:E29))</f>
        <v>1219794.9843822648</v>
      </c>
      <c r="E30" s="484">
        <f t="shared" si="10"/>
        <v>40286.261904761908</v>
      </c>
      <c r="F30" s="485">
        <f t="shared" si="11"/>
        <v>1179508.7224775029</v>
      </c>
      <c r="G30" s="486">
        <f t="shared" si="12"/>
        <v>167450.26190476189</v>
      </c>
      <c r="H30" s="455">
        <f t="shared" si="13"/>
        <v>167450.26190476189</v>
      </c>
      <c r="I30" s="475">
        <f t="shared" si="3"/>
        <v>0</v>
      </c>
      <c r="J30" s="475"/>
      <c r="K30" s="487"/>
      <c r="L30" s="478">
        <f t="shared" si="14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>
      <c r="B31" s="160" t="str">
        <f t="shared" si="4"/>
        <v/>
      </c>
      <c r="C31" s="472">
        <f>IF(D11="","-",+C30+1)</f>
        <v>2029</v>
      </c>
      <c r="D31" s="485">
        <f>IF(F30+SUM(E$17:E30)=D$10,F30,D$10-SUM(E$17:E30))</f>
        <v>1179508.7224775029</v>
      </c>
      <c r="E31" s="484">
        <f t="shared" si="10"/>
        <v>40286.261904761908</v>
      </c>
      <c r="F31" s="485">
        <f t="shared" si="11"/>
        <v>1139222.460572741</v>
      </c>
      <c r="G31" s="486">
        <f t="shared" si="12"/>
        <v>163107.26190476189</v>
      </c>
      <c r="H31" s="455">
        <f t="shared" si="13"/>
        <v>163107.26190476189</v>
      </c>
      <c r="I31" s="475">
        <f t="shared" si="3"/>
        <v>0</v>
      </c>
      <c r="J31" s="475"/>
      <c r="K31" s="487"/>
      <c r="L31" s="478">
        <f t="shared" si="14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>
      <c r="B32" s="160" t="str">
        <f t="shared" si="4"/>
        <v/>
      </c>
      <c r="C32" s="472">
        <f>IF(D11="","-",+C31+1)</f>
        <v>2030</v>
      </c>
      <c r="D32" s="485">
        <f>IF(F31+SUM(E$17:E31)=D$10,F31,D$10-SUM(E$17:E31))</f>
        <v>1139222.460572741</v>
      </c>
      <c r="E32" s="484">
        <f t="shared" si="10"/>
        <v>40286.261904761908</v>
      </c>
      <c r="F32" s="485">
        <f t="shared" si="11"/>
        <v>1098936.1986679791</v>
      </c>
      <c r="G32" s="486">
        <f t="shared" si="12"/>
        <v>158764.26190476189</v>
      </c>
      <c r="H32" s="455">
        <f t="shared" si="13"/>
        <v>158764.26190476189</v>
      </c>
      <c r="I32" s="475">
        <f t="shared" si="3"/>
        <v>0</v>
      </c>
      <c r="J32" s="475"/>
      <c r="K32" s="487"/>
      <c r="L32" s="478">
        <f t="shared" si="14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>
      <c r="B33" s="160" t="str">
        <f t="shared" si="4"/>
        <v/>
      </c>
      <c r="C33" s="472">
        <f>IF(D11="","-",+C32+1)</f>
        <v>2031</v>
      </c>
      <c r="D33" s="485">
        <f>IF(F32+SUM(E$17:E32)=D$10,F32,D$10-SUM(E$17:E32))</f>
        <v>1098936.1986679791</v>
      </c>
      <c r="E33" s="484">
        <f t="shared" si="10"/>
        <v>40286.261904761908</v>
      </c>
      <c r="F33" s="485">
        <f t="shared" si="11"/>
        <v>1058649.9367632172</v>
      </c>
      <c r="G33" s="486">
        <f t="shared" si="12"/>
        <v>154420.26190476189</v>
      </c>
      <c r="H33" s="455">
        <f t="shared" si="13"/>
        <v>154420.26190476189</v>
      </c>
      <c r="I33" s="475">
        <f t="shared" si="3"/>
        <v>0</v>
      </c>
      <c r="J33" s="475"/>
      <c r="K33" s="487"/>
      <c r="L33" s="478">
        <f t="shared" si="14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>
      <c r="B34" s="160" t="str">
        <f t="shared" si="4"/>
        <v/>
      </c>
      <c r="C34" s="472">
        <f>IF(D11="","-",+C33+1)</f>
        <v>2032</v>
      </c>
      <c r="D34" s="485">
        <f>IF(F33+SUM(E$17:E33)=D$10,F33,D$10-SUM(E$17:E33))</f>
        <v>1058649.9367632172</v>
      </c>
      <c r="E34" s="484">
        <f t="shared" si="10"/>
        <v>40286.261904761908</v>
      </c>
      <c r="F34" s="485">
        <f t="shared" si="11"/>
        <v>1018363.6748584553</v>
      </c>
      <c r="G34" s="486">
        <f t="shared" si="12"/>
        <v>150077.26190476189</v>
      </c>
      <c r="H34" s="455">
        <f t="shared" si="13"/>
        <v>150077.26190476189</v>
      </c>
      <c r="I34" s="475">
        <f t="shared" si="3"/>
        <v>0</v>
      </c>
      <c r="J34" s="475"/>
      <c r="K34" s="487"/>
      <c r="L34" s="478">
        <f t="shared" si="14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>
      <c r="B35" s="160" t="str">
        <f t="shared" si="4"/>
        <v/>
      </c>
      <c r="C35" s="472">
        <f>IF(D11="","-",+C34+1)</f>
        <v>2033</v>
      </c>
      <c r="D35" s="485">
        <f>IF(F34+SUM(E$17:E34)=D$10,F34,D$10-SUM(E$17:E34))</f>
        <v>1018363.6748584553</v>
      </c>
      <c r="E35" s="484">
        <f t="shared" si="10"/>
        <v>40286.261904761908</v>
      </c>
      <c r="F35" s="485">
        <f t="shared" si="11"/>
        <v>978077.41295369342</v>
      </c>
      <c r="G35" s="486">
        <f t="shared" si="12"/>
        <v>145734.26190476189</v>
      </c>
      <c r="H35" s="455">
        <f t="shared" si="13"/>
        <v>145734.26190476189</v>
      </c>
      <c r="I35" s="475">
        <f t="shared" si="3"/>
        <v>0</v>
      </c>
      <c r="J35" s="475"/>
      <c r="K35" s="487"/>
      <c r="L35" s="478">
        <f t="shared" si="14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>
      <c r="B36" s="160" t="str">
        <f t="shared" si="4"/>
        <v/>
      </c>
      <c r="C36" s="472">
        <f>IF(D11="","-",+C35+1)</f>
        <v>2034</v>
      </c>
      <c r="D36" s="485">
        <f>IF(F35+SUM(E$17:E35)=D$10,F35,D$10-SUM(E$17:E35))</f>
        <v>978077.41295369342</v>
      </c>
      <c r="E36" s="484">
        <f t="shared" si="10"/>
        <v>40286.261904761908</v>
      </c>
      <c r="F36" s="485">
        <f t="shared" si="11"/>
        <v>937791.15104893153</v>
      </c>
      <c r="G36" s="486">
        <f t="shared" si="12"/>
        <v>141390.26190476189</v>
      </c>
      <c r="H36" s="455">
        <f t="shared" si="13"/>
        <v>141390.26190476189</v>
      </c>
      <c r="I36" s="475">
        <f t="shared" si="3"/>
        <v>0</v>
      </c>
      <c r="J36" s="475"/>
      <c r="K36" s="487"/>
      <c r="L36" s="478">
        <f t="shared" si="14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>
      <c r="B37" s="160" t="str">
        <f t="shared" si="4"/>
        <v/>
      </c>
      <c r="C37" s="472">
        <f>IF(D11="","-",+C36+1)</f>
        <v>2035</v>
      </c>
      <c r="D37" s="485">
        <f>IF(F36+SUM(E$17:E36)=D$10,F36,D$10-SUM(E$17:E36))</f>
        <v>937791.15104893153</v>
      </c>
      <c r="E37" s="484">
        <f t="shared" si="10"/>
        <v>40286.261904761908</v>
      </c>
      <c r="F37" s="485">
        <f t="shared" si="11"/>
        <v>897504.88914416963</v>
      </c>
      <c r="G37" s="486">
        <f t="shared" si="12"/>
        <v>137047.26190476189</v>
      </c>
      <c r="H37" s="455">
        <f t="shared" si="13"/>
        <v>137047.26190476189</v>
      </c>
      <c r="I37" s="475">
        <f t="shared" si="3"/>
        <v>0</v>
      </c>
      <c r="J37" s="475"/>
      <c r="K37" s="487"/>
      <c r="L37" s="478">
        <f t="shared" si="14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>
      <c r="B38" s="160" t="str">
        <f t="shared" si="4"/>
        <v/>
      </c>
      <c r="C38" s="472">
        <f>IF(D11="","-",+C37+1)</f>
        <v>2036</v>
      </c>
      <c r="D38" s="485">
        <f>IF(F37+SUM(E$17:E37)=D$10,F37,D$10-SUM(E$17:E37))</f>
        <v>897504.88914416963</v>
      </c>
      <c r="E38" s="484">
        <f t="shared" si="10"/>
        <v>40286.261904761908</v>
      </c>
      <c r="F38" s="485">
        <f t="shared" si="11"/>
        <v>857218.62723940774</v>
      </c>
      <c r="G38" s="486">
        <f t="shared" si="12"/>
        <v>132704.26190476189</v>
      </c>
      <c r="H38" s="455">
        <f t="shared" si="13"/>
        <v>132704.26190476189</v>
      </c>
      <c r="I38" s="475">
        <f t="shared" si="3"/>
        <v>0</v>
      </c>
      <c r="J38" s="475"/>
      <c r="K38" s="487"/>
      <c r="L38" s="478">
        <f t="shared" si="14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>
      <c r="B39" s="160" t="str">
        <f t="shared" si="4"/>
        <v/>
      </c>
      <c r="C39" s="472">
        <f>IF(D11="","-",+C38+1)</f>
        <v>2037</v>
      </c>
      <c r="D39" s="485">
        <f>IF(F38+SUM(E$17:E38)=D$10,F38,D$10-SUM(E$17:E38))</f>
        <v>857218.62723940774</v>
      </c>
      <c r="E39" s="484">
        <f t="shared" si="10"/>
        <v>40286.261904761908</v>
      </c>
      <c r="F39" s="485">
        <f t="shared" si="11"/>
        <v>816932.36533464584</v>
      </c>
      <c r="G39" s="486">
        <f t="shared" si="12"/>
        <v>128360.26190476191</v>
      </c>
      <c r="H39" s="455">
        <f t="shared" si="13"/>
        <v>128360.26190476191</v>
      </c>
      <c r="I39" s="475">
        <f t="shared" si="3"/>
        <v>0</v>
      </c>
      <c r="J39" s="475"/>
      <c r="K39" s="487"/>
      <c r="L39" s="478">
        <f t="shared" si="14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>
      <c r="B40" s="160" t="str">
        <f t="shared" si="4"/>
        <v/>
      </c>
      <c r="C40" s="472">
        <f>IF(D11="","-",+C39+1)</f>
        <v>2038</v>
      </c>
      <c r="D40" s="485">
        <f>IF(F39+SUM(E$17:E39)=D$10,F39,D$10-SUM(E$17:E39))</f>
        <v>816932.36533464584</v>
      </c>
      <c r="E40" s="484">
        <f t="shared" si="10"/>
        <v>40286.261904761908</v>
      </c>
      <c r="F40" s="485">
        <f t="shared" si="11"/>
        <v>776646.10342988395</v>
      </c>
      <c r="G40" s="486">
        <f t="shared" si="12"/>
        <v>124017.26190476191</v>
      </c>
      <c r="H40" s="455">
        <f t="shared" si="13"/>
        <v>124017.26190476191</v>
      </c>
      <c r="I40" s="475">
        <f t="shared" si="3"/>
        <v>0</v>
      </c>
      <c r="J40" s="475"/>
      <c r="K40" s="487"/>
      <c r="L40" s="478">
        <f t="shared" si="14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>
      <c r="B41" s="160" t="str">
        <f t="shared" si="4"/>
        <v/>
      </c>
      <c r="C41" s="472">
        <f>IF(D11="","-",+C40+1)</f>
        <v>2039</v>
      </c>
      <c r="D41" s="485">
        <f>IF(F40+SUM(E$17:E40)=D$10,F40,D$10-SUM(E$17:E40))</f>
        <v>776646.10342988395</v>
      </c>
      <c r="E41" s="484">
        <f t="shared" si="10"/>
        <v>40286.261904761908</v>
      </c>
      <c r="F41" s="485">
        <f t="shared" si="11"/>
        <v>736359.84152512206</v>
      </c>
      <c r="G41" s="486">
        <f t="shared" si="12"/>
        <v>119674.26190476191</v>
      </c>
      <c r="H41" s="455">
        <f t="shared" si="13"/>
        <v>119674.26190476191</v>
      </c>
      <c r="I41" s="475">
        <f t="shared" si="3"/>
        <v>0</v>
      </c>
      <c r="J41" s="475"/>
      <c r="K41" s="487"/>
      <c r="L41" s="478">
        <f t="shared" si="14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>
      <c r="B42" s="160" t="str">
        <f t="shared" si="4"/>
        <v/>
      </c>
      <c r="C42" s="472">
        <f>IF(D11="","-",+C41+1)</f>
        <v>2040</v>
      </c>
      <c r="D42" s="485">
        <f>IF(F41+SUM(E$17:E41)=D$10,F41,D$10-SUM(E$17:E41))</f>
        <v>736359.84152512206</v>
      </c>
      <c r="E42" s="484">
        <f t="shared" si="10"/>
        <v>40286.261904761908</v>
      </c>
      <c r="F42" s="485">
        <f t="shared" si="11"/>
        <v>696073.57962036016</v>
      </c>
      <c r="G42" s="486">
        <f t="shared" si="12"/>
        <v>115331.26190476191</v>
      </c>
      <c r="H42" s="455">
        <f t="shared" si="13"/>
        <v>115331.26190476191</v>
      </c>
      <c r="I42" s="475">
        <f t="shared" si="3"/>
        <v>0</v>
      </c>
      <c r="J42" s="475"/>
      <c r="K42" s="487"/>
      <c r="L42" s="478">
        <f t="shared" si="14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>
      <c r="B43" s="160" t="str">
        <f t="shared" si="4"/>
        <v/>
      </c>
      <c r="C43" s="472">
        <f>IF(D11="","-",+C42+1)</f>
        <v>2041</v>
      </c>
      <c r="D43" s="485">
        <f>IF(F42+SUM(E$17:E42)=D$10,F42,D$10-SUM(E$17:E42))</f>
        <v>696073.57962036016</v>
      </c>
      <c r="E43" s="484">
        <f t="shared" si="10"/>
        <v>40286.261904761908</v>
      </c>
      <c r="F43" s="485">
        <f t="shared" si="11"/>
        <v>655787.31771559827</v>
      </c>
      <c r="G43" s="486">
        <f t="shared" si="12"/>
        <v>110987.26190476191</v>
      </c>
      <c r="H43" s="455">
        <f t="shared" si="13"/>
        <v>110987.26190476191</v>
      </c>
      <c r="I43" s="475">
        <f t="shared" si="3"/>
        <v>0</v>
      </c>
      <c r="J43" s="475"/>
      <c r="K43" s="487"/>
      <c r="L43" s="478">
        <f t="shared" si="14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>
      <c r="B44" s="160" t="str">
        <f t="shared" si="4"/>
        <v/>
      </c>
      <c r="C44" s="472">
        <f>IF(D11="","-",+C43+1)</f>
        <v>2042</v>
      </c>
      <c r="D44" s="485">
        <f>IF(F43+SUM(E$17:E43)=D$10,F43,D$10-SUM(E$17:E43))</f>
        <v>655787.31771559827</v>
      </c>
      <c r="E44" s="484">
        <f t="shared" si="10"/>
        <v>40286.261904761908</v>
      </c>
      <c r="F44" s="485">
        <f t="shared" si="11"/>
        <v>615501.05581083638</v>
      </c>
      <c r="G44" s="486">
        <f t="shared" si="12"/>
        <v>106644.26190476191</v>
      </c>
      <c r="H44" s="455">
        <f t="shared" si="13"/>
        <v>106644.26190476191</v>
      </c>
      <c r="I44" s="475">
        <f t="shared" si="3"/>
        <v>0</v>
      </c>
      <c r="J44" s="475"/>
      <c r="K44" s="487"/>
      <c r="L44" s="478">
        <f t="shared" si="14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>
      <c r="B45" s="160" t="str">
        <f t="shared" si="4"/>
        <v/>
      </c>
      <c r="C45" s="472">
        <f>IF(D11="","-",+C44+1)</f>
        <v>2043</v>
      </c>
      <c r="D45" s="485">
        <f>IF(F44+SUM(E$17:E44)=D$10,F44,D$10-SUM(E$17:E44))</f>
        <v>615501.05581083638</v>
      </c>
      <c r="E45" s="484">
        <f t="shared" si="10"/>
        <v>40286.261904761908</v>
      </c>
      <c r="F45" s="485">
        <f t="shared" si="11"/>
        <v>575214.79390607448</v>
      </c>
      <c r="G45" s="486">
        <f t="shared" si="12"/>
        <v>102301.26190476191</v>
      </c>
      <c r="H45" s="455">
        <f t="shared" si="13"/>
        <v>102301.26190476191</v>
      </c>
      <c r="I45" s="475">
        <f t="shared" si="3"/>
        <v>0</v>
      </c>
      <c r="J45" s="475"/>
      <c r="K45" s="487"/>
      <c r="L45" s="478">
        <f t="shared" si="14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>
      <c r="B46" s="160" t="str">
        <f t="shared" si="4"/>
        <v/>
      </c>
      <c r="C46" s="472">
        <f>IF(D11="","-",+C45+1)</f>
        <v>2044</v>
      </c>
      <c r="D46" s="485">
        <f>IF(F45+SUM(E$17:E45)=D$10,F45,D$10-SUM(E$17:E45))</f>
        <v>575214.79390607448</v>
      </c>
      <c r="E46" s="484">
        <f t="shared" si="10"/>
        <v>40286.261904761908</v>
      </c>
      <c r="F46" s="485">
        <f t="shared" si="11"/>
        <v>534928.53200131259</v>
      </c>
      <c r="G46" s="486">
        <f t="shared" si="12"/>
        <v>97957.261904761908</v>
      </c>
      <c r="H46" s="455">
        <f t="shared" si="13"/>
        <v>97957.261904761908</v>
      </c>
      <c r="I46" s="475">
        <f t="shared" si="3"/>
        <v>0</v>
      </c>
      <c r="J46" s="475"/>
      <c r="K46" s="487"/>
      <c r="L46" s="478">
        <f t="shared" si="14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>
      <c r="B47" s="160" t="str">
        <f t="shared" si="4"/>
        <v/>
      </c>
      <c r="C47" s="472">
        <f>IF(D11="","-",+C46+1)</f>
        <v>2045</v>
      </c>
      <c r="D47" s="485">
        <f>IF(F46+SUM(E$17:E46)=D$10,F46,D$10-SUM(E$17:E46))</f>
        <v>534928.53200131259</v>
      </c>
      <c r="E47" s="484">
        <f t="shared" si="10"/>
        <v>40286.261904761908</v>
      </c>
      <c r="F47" s="485">
        <f t="shared" si="11"/>
        <v>494642.2700965507</v>
      </c>
      <c r="G47" s="486">
        <f t="shared" si="12"/>
        <v>93614.261904761908</v>
      </c>
      <c r="H47" s="455">
        <f t="shared" si="13"/>
        <v>93614.261904761908</v>
      </c>
      <c r="I47" s="475">
        <f t="shared" si="3"/>
        <v>0</v>
      </c>
      <c r="J47" s="475"/>
      <c r="K47" s="487"/>
      <c r="L47" s="478">
        <f t="shared" si="14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>
      <c r="B48" s="160" t="str">
        <f t="shared" si="4"/>
        <v/>
      </c>
      <c r="C48" s="472">
        <f>IF(D11="","-",+C47+1)</f>
        <v>2046</v>
      </c>
      <c r="D48" s="485">
        <f>IF(F47+SUM(E$17:E47)=D$10,F47,D$10-SUM(E$17:E47))</f>
        <v>494642.2700965507</v>
      </c>
      <c r="E48" s="484">
        <f t="shared" si="10"/>
        <v>40286.261904761908</v>
      </c>
      <c r="F48" s="485">
        <f t="shared" si="11"/>
        <v>454356.0081917888</v>
      </c>
      <c r="G48" s="486">
        <f t="shared" si="12"/>
        <v>89271.261904761908</v>
      </c>
      <c r="H48" s="455">
        <f t="shared" si="13"/>
        <v>89271.261904761908</v>
      </c>
      <c r="I48" s="475">
        <f t="shared" si="3"/>
        <v>0</v>
      </c>
      <c r="J48" s="475"/>
      <c r="K48" s="487"/>
      <c r="L48" s="478">
        <f t="shared" si="14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>
      <c r="B49" s="160" t="str">
        <f t="shared" si="4"/>
        <v/>
      </c>
      <c r="C49" s="472">
        <f>IF(D11="","-",+C48+1)</f>
        <v>2047</v>
      </c>
      <c r="D49" s="485">
        <f>IF(F48+SUM(E$17:E48)=D$10,F48,D$10-SUM(E$17:E48))</f>
        <v>454356.0081917888</v>
      </c>
      <c r="E49" s="484">
        <f t="shared" si="10"/>
        <v>40286.261904761908</v>
      </c>
      <c r="F49" s="485">
        <f t="shared" si="11"/>
        <v>414069.74628702691</v>
      </c>
      <c r="G49" s="486">
        <f t="shared" si="12"/>
        <v>84927.261904761908</v>
      </c>
      <c r="H49" s="455">
        <f t="shared" si="13"/>
        <v>84927.261904761908</v>
      </c>
      <c r="I49" s="475">
        <f t="shared" si="3"/>
        <v>0</v>
      </c>
      <c r="J49" s="475"/>
      <c r="K49" s="487"/>
      <c r="L49" s="478">
        <f t="shared" si="14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>
      <c r="B50" s="160" t="str">
        <f t="shared" si="4"/>
        <v/>
      </c>
      <c r="C50" s="472">
        <f>IF(D11="","-",+C49+1)</f>
        <v>2048</v>
      </c>
      <c r="D50" s="485">
        <f>IF(F49+SUM(E$17:E49)=D$10,F49,D$10-SUM(E$17:E49))</f>
        <v>414069.74628702691</v>
      </c>
      <c r="E50" s="484">
        <f t="shared" si="10"/>
        <v>40286.261904761908</v>
      </c>
      <c r="F50" s="485">
        <f t="shared" si="11"/>
        <v>373783.48438226501</v>
      </c>
      <c r="G50" s="486">
        <f t="shared" si="12"/>
        <v>80584.261904761908</v>
      </c>
      <c r="H50" s="455">
        <f t="shared" si="13"/>
        <v>80584.261904761908</v>
      </c>
      <c r="I50" s="475">
        <f t="shared" si="3"/>
        <v>0</v>
      </c>
      <c r="J50" s="475"/>
      <c r="K50" s="487"/>
      <c r="L50" s="478">
        <f t="shared" si="14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>
      <c r="B51" s="160" t="str">
        <f t="shared" si="4"/>
        <v/>
      </c>
      <c r="C51" s="472">
        <f>IF(D11="","-",+C50+1)</f>
        <v>2049</v>
      </c>
      <c r="D51" s="485">
        <f>IF(F50+SUM(E$17:E50)=D$10,F50,D$10-SUM(E$17:E50))</f>
        <v>373783.48438226501</v>
      </c>
      <c r="E51" s="484">
        <f t="shared" si="10"/>
        <v>40286.261904761908</v>
      </c>
      <c r="F51" s="485">
        <f t="shared" si="11"/>
        <v>333497.22247750312</v>
      </c>
      <c r="G51" s="486">
        <f t="shared" si="12"/>
        <v>76241.261904761908</v>
      </c>
      <c r="H51" s="455">
        <f t="shared" si="13"/>
        <v>76241.261904761908</v>
      </c>
      <c r="I51" s="475">
        <f t="shared" si="3"/>
        <v>0</v>
      </c>
      <c r="J51" s="475"/>
      <c r="K51" s="487"/>
      <c r="L51" s="478">
        <f t="shared" si="14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>
      <c r="B52" s="160" t="str">
        <f t="shared" si="4"/>
        <v/>
      </c>
      <c r="C52" s="472">
        <f>IF(D11="","-",+C51+1)</f>
        <v>2050</v>
      </c>
      <c r="D52" s="485">
        <f>IF(F51+SUM(E$17:E51)=D$10,F51,D$10-SUM(E$17:E51))</f>
        <v>333497.22247750312</v>
      </c>
      <c r="E52" s="484">
        <f t="shared" si="10"/>
        <v>40286.261904761908</v>
      </c>
      <c r="F52" s="485">
        <f t="shared" si="11"/>
        <v>293210.96057274123</v>
      </c>
      <c r="G52" s="486">
        <f t="shared" si="12"/>
        <v>71897.261904761908</v>
      </c>
      <c r="H52" s="455">
        <f t="shared" si="13"/>
        <v>71897.261904761908</v>
      </c>
      <c r="I52" s="475">
        <f t="shared" si="3"/>
        <v>0</v>
      </c>
      <c r="J52" s="475"/>
      <c r="K52" s="487"/>
      <c r="L52" s="478">
        <f t="shared" si="14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>
      <c r="B53" s="160" t="str">
        <f t="shared" si="4"/>
        <v/>
      </c>
      <c r="C53" s="472">
        <f>IF(D11="","-",+C52+1)</f>
        <v>2051</v>
      </c>
      <c r="D53" s="485">
        <f>IF(F52+SUM(E$17:E52)=D$10,F52,D$10-SUM(E$17:E52))</f>
        <v>293210.96057274123</v>
      </c>
      <c r="E53" s="484">
        <f t="shared" si="10"/>
        <v>40286.261904761908</v>
      </c>
      <c r="F53" s="485">
        <f t="shared" si="11"/>
        <v>252924.69866797933</v>
      </c>
      <c r="G53" s="486">
        <f t="shared" si="12"/>
        <v>67554.261904761908</v>
      </c>
      <c r="H53" s="455">
        <f t="shared" si="13"/>
        <v>67554.261904761908</v>
      </c>
      <c r="I53" s="475">
        <f t="shared" si="3"/>
        <v>0</v>
      </c>
      <c r="J53" s="475"/>
      <c r="K53" s="487"/>
      <c r="L53" s="478">
        <f t="shared" si="14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>
      <c r="B54" s="160" t="str">
        <f t="shared" si="4"/>
        <v/>
      </c>
      <c r="C54" s="472">
        <f>IF(D11="","-",+C53+1)</f>
        <v>2052</v>
      </c>
      <c r="D54" s="485">
        <f>IF(F53+SUM(E$17:E53)=D$10,F53,D$10-SUM(E$17:E53))</f>
        <v>252924.69866797933</v>
      </c>
      <c r="E54" s="484">
        <f t="shared" si="10"/>
        <v>40286.261904761908</v>
      </c>
      <c r="F54" s="485">
        <f t="shared" si="11"/>
        <v>212638.43676321744</v>
      </c>
      <c r="G54" s="486">
        <f t="shared" si="12"/>
        <v>63211.261904761908</v>
      </c>
      <c r="H54" s="455">
        <f t="shared" si="13"/>
        <v>63211.261904761908</v>
      </c>
      <c r="I54" s="475">
        <f t="shared" si="3"/>
        <v>0</v>
      </c>
      <c r="J54" s="475"/>
      <c r="K54" s="487"/>
      <c r="L54" s="478">
        <f t="shared" si="14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>
      <c r="B55" s="160" t="str">
        <f t="shared" si="4"/>
        <v/>
      </c>
      <c r="C55" s="472">
        <f>IF(D11="","-",+C54+1)</f>
        <v>2053</v>
      </c>
      <c r="D55" s="485">
        <f>IF(F54+SUM(E$17:E54)=D$10,F54,D$10-SUM(E$17:E54))</f>
        <v>212638.43676321744</v>
      </c>
      <c r="E55" s="484">
        <f t="shared" si="10"/>
        <v>40286.261904761908</v>
      </c>
      <c r="F55" s="485">
        <f t="shared" si="11"/>
        <v>172352.17485845555</v>
      </c>
      <c r="G55" s="486">
        <f t="shared" si="12"/>
        <v>58868.261904761908</v>
      </c>
      <c r="H55" s="455">
        <f t="shared" si="13"/>
        <v>58868.261904761908</v>
      </c>
      <c r="I55" s="475">
        <f t="shared" si="3"/>
        <v>0</v>
      </c>
      <c r="J55" s="475"/>
      <c r="K55" s="487"/>
      <c r="L55" s="478">
        <f t="shared" si="14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>
      <c r="B56" s="160" t="str">
        <f t="shared" si="4"/>
        <v/>
      </c>
      <c r="C56" s="472">
        <f>IF(D11="","-",+C55+1)</f>
        <v>2054</v>
      </c>
      <c r="D56" s="485">
        <f>IF(F55+SUM(E$17:E55)=D$10,F55,D$10-SUM(E$17:E55))</f>
        <v>172352.17485845555</v>
      </c>
      <c r="E56" s="484">
        <f t="shared" si="10"/>
        <v>40286.261904761908</v>
      </c>
      <c r="F56" s="485">
        <f t="shared" si="11"/>
        <v>132065.91295369365</v>
      </c>
      <c r="G56" s="486">
        <f t="shared" si="12"/>
        <v>54524.261904761908</v>
      </c>
      <c r="H56" s="455">
        <f t="shared" si="13"/>
        <v>54524.261904761908</v>
      </c>
      <c r="I56" s="475">
        <f t="shared" si="3"/>
        <v>0</v>
      </c>
      <c r="J56" s="475"/>
      <c r="K56" s="487"/>
      <c r="L56" s="478">
        <f t="shared" si="14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>
      <c r="B57" s="160" t="str">
        <f t="shared" si="4"/>
        <v/>
      </c>
      <c r="C57" s="472">
        <f>IF(D11="","-",+C56+1)</f>
        <v>2055</v>
      </c>
      <c r="D57" s="485">
        <f>IF(F56+SUM(E$17:E56)=D$10,F56,D$10-SUM(E$17:E56))</f>
        <v>132065.91295369365</v>
      </c>
      <c r="E57" s="484">
        <f t="shared" si="10"/>
        <v>40286.261904761908</v>
      </c>
      <c r="F57" s="485">
        <f t="shared" si="11"/>
        <v>91779.651048931744</v>
      </c>
      <c r="G57" s="486">
        <f t="shared" si="12"/>
        <v>50181.261904761908</v>
      </c>
      <c r="H57" s="455">
        <f t="shared" si="13"/>
        <v>50181.261904761908</v>
      </c>
      <c r="I57" s="475">
        <f t="shared" si="3"/>
        <v>0</v>
      </c>
      <c r="J57" s="475"/>
      <c r="K57" s="487"/>
      <c r="L57" s="478">
        <f t="shared" si="14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>
      <c r="B58" s="160" t="str">
        <f t="shared" si="4"/>
        <v/>
      </c>
      <c r="C58" s="472">
        <f>IF(D11="","-",+C57+1)</f>
        <v>2056</v>
      </c>
      <c r="D58" s="485">
        <f>IF(F57+SUM(E$17:E57)=D$10,F57,D$10-SUM(E$17:E57))</f>
        <v>91779.651048931744</v>
      </c>
      <c r="E58" s="484">
        <f t="shared" si="10"/>
        <v>40286.261904761908</v>
      </c>
      <c r="F58" s="485">
        <f t="shared" si="11"/>
        <v>51493.389144169836</v>
      </c>
      <c r="G58" s="486">
        <f t="shared" si="12"/>
        <v>45838.261904761908</v>
      </c>
      <c r="H58" s="455">
        <f t="shared" si="13"/>
        <v>45838.261904761908</v>
      </c>
      <c r="I58" s="475">
        <f t="shared" si="3"/>
        <v>0</v>
      </c>
      <c r="J58" s="475"/>
      <c r="K58" s="487"/>
      <c r="L58" s="478">
        <f t="shared" si="14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>
      <c r="B59" s="160" t="str">
        <f t="shared" si="4"/>
        <v/>
      </c>
      <c r="C59" s="472">
        <f>IF(D11="","-",+C58+1)</f>
        <v>2057</v>
      </c>
      <c r="D59" s="485">
        <f>IF(F58+SUM(E$17:E58)=D$10,F58,D$10-SUM(E$17:E58))</f>
        <v>51493.389144169836</v>
      </c>
      <c r="E59" s="484">
        <f t="shared" si="10"/>
        <v>40286.261904761908</v>
      </c>
      <c r="F59" s="485">
        <f t="shared" si="11"/>
        <v>11207.127239407928</v>
      </c>
      <c r="G59" s="486">
        <f t="shared" si="12"/>
        <v>41494.261904761908</v>
      </c>
      <c r="H59" s="455">
        <f t="shared" si="13"/>
        <v>41494.261904761908</v>
      </c>
      <c r="I59" s="475">
        <f t="shared" si="3"/>
        <v>0</v>
      </c>
      <c r="J59" s="475"/>
      <c r="K59" s="487"/>
      <c r="L59" s="478">
        <f t="shared" si="14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>
      <c r="B60" s="160" t="str">
        <f t="shared" si="4"/>
        <v/>
      </c>
      <c r="C60" s="472">
        <f>IF(D11="","-",+C59+1)</f>
        <v>2058</v>
      </c>
      <c r="D60" s="485">
        <f>IF(F59+SUM(E$17:E59)=D$10,F59,D$10-SUM(E$17:E59))</f>
        <v>11207.127239407928</v>
      </c>
      <c r="E60" s="484">
        <f t="shared" si="10"/>
        <v>11207.127239407928</v>
      </c>
      <c r="F60" s="485">
        <f t="shared" si="11"/>
        <v>0</v>
      </c>
      <c r="G60" s="486">
        <f t="shared" si="12"/>
        <v>11207.127239407928</v>
      </c>
      <c r="H60" s="455">
        <f t="shared" si="13"/>
        <v>11207.127239407928</v>
      </c>
      <c r="I60" s="475">
        <f t="shared" si="3"/>
        <v>0</v>
      </c>
      <c r="J60" s="475"/>
      <c r="K60" s="487"/>
      <c r="L60" s="478">
        <f t="shared" si="14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>
      <c r="B61" s="160" t="str">
        <f t="shared" si="4"/>
        <v/>
      </c>
      <c r="C61" s="472">
        <f>IF(D11="","-",+C60+1)</f>
        <v>2059</v>
      </c>
      <c r="D61" s="485">
        <f>IF(F60+SUM(E$17:E60)=D$10,F60,D$10-SUM(E$17:E60))</f>
        <v>0</v>
      </c>
      <c r="E61" s="484">
        <f t="shared" si="10"/>
        <v>0</v>
      </c>
      <c r="F61" s="485">
        <f t="shared" si="11"/>
        <v>0</v>
      </c>
      <c r="G61" s="486">
        <f t="shared" si="12"/>
        <v>0</v>
      </c>
      <c r="H61" s="455">
        <f t="shared" si="13"/>
        <v>0</v>
      </c>
      <c r="I61" s="475">
        <f t="shared" si="3"/>
        <v>0</v>
      </c>
      <c r="J61" s="475"/>
      <c r="K61" s="487"/>
      <c r="L61" s="478">
        <f t="shared" si="14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>
      <c r="B62" s="160" t="str">
        <f t="shared" si="4"/>
        <v/>
      </c>
      <c r="C62" s="472">
        <f>IF(D11="","-",+C61+1)</f>
        <v>2060</v>
      </c>
      <c r="D62" s="485">
        <f>IF(F61+SUM(E$17:E61)=D$10,F61,D$10-SUM(E$17:E61))</f>
        <v>0</v>
      </c>
      <c r="E62" s="484">
        <f t="shared" si="10"/>
        <v>0</v>
      </c>
      <c r="F62" s="485">
        <f t="shared" si="11"/>
        <v>0</v>
      </c>
      <c r="G62" s="486">
        <f t="shared" si="12"/>
        <v>0</v>
      </c>
      <c r="H62" s="455">
        <f t="shared" si="13"/>
        <v>0</v>
      </c>
      <c r="I62" s="475">
        <f t="shared" si="3"/>
        <v>0</v>
      </c>
      <c r="J62" s="475"/>
      <c r="K62" s="487"/>
      <c r="L62" s="478">
        <f t="shared" si="14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>
      <c r="B63" s="160" t="str">
        <f t="shared" si="4"/>
        <v/>
      </c>
      <c r="C63" s="472">
        <f>IF(D11="","-",+C62+1)</f>
        <v>2061</v>
      </c>
      <c r="D63" s="485">
        <f>IF(F62+SUM(E$17:E62)=D$10,F62,D$10-SUM(E$17:E62))</f>
        <v>0</v>
      </c>
      <c r="E63" s="484">
        <f t="shared" si="10"/>
        <v>0</v>
      </c>
      <c r="F63" s="485">
        <f t="shared" si="11"/>
        <v>0</v>
      </c>
      <c r="G63" s="486">
        <f t="shared" si="12"/>
        <v>0</v>
      </c>
      <c r="H63" s="455">
        <f t="shared" si="13"/>
        <v>0</v>
      </c>
      <c r="I63" s="475">
        <f t="shared" si="3"/>
        <v>0</v>
      </c>
      <c r="J63" s="475"/>
      <c r="K63" s="487"/>
      <c r="L63" s="478">
        <f t="shared" si="14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>
      <c r="B64" s="160" t="str">
        <f t="shared" si="4"/>
        <v/>
      </c>
      <c r="C64" s="472">
        <f>IF(D11="","-",+C63+1)</f>
        <v>2062</v>
      </c>
      <c r="D64" s="485">
        <f>IF(F63+SUM(E$17:E63)=D$10,F63,D$10-SUM(E$17:E63))</f>
        <v>0</v>
      </c>
      <c r="E64" s="484">
        <f t="shared" si="10"/>
        <v>0</v>
      </c>
      <c r="F64" s="485">
        <f t="shared" si="11"/>
        <v>0</v>
      </c>
      <c r="G64" s="486">
        <f t="shared" si="12"/>
        <v>0</v>
      </c>
      <c r="H64" s="455">
        <f t="shared" si="13"/>
        <v>0</v>
      </c>
      <c r="I64" s="475">
        <f t="shared" si="3"/>
        <v>0</v>
      </c>
      <c r="J64" s="475"/>
      <c r="K64" s="487"/>
      <c r="L64" s="478">
        <f t="shared" si="14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>
      <c r="B65" s="160" t="str">
        <f t="shared" si="4"/>
        <v/>
      </c>
      <c r="C65" s="472">
        <f>IF(D11="","-",+C64+1)</f>
        <v>2063</v>
      </c>
      <c r="D65" s="485">
        <f>IF(F64+SUM(E$17:E64)=D$10,F64,D$10-SUM(E$17:E64))</f>
        <v>0</v>
      </c>
      <c r="E65" s="484">
        <f t="shared" si="10"/>
        <v>0</v>
      </c>
      <c r="F65" s="485">
        <f t="shared" si="11"/>
        <v>0</v>
      </c>
      <c r="G65" s="486">
        <f t="shared" si="12"/>
        <v>0</v>
      </c>
      <c r="H65" s="455">
        <f t="shared" si="13"/>
        <v>0</v>
      </c>
      <c r="I65" s="475">
        <f t="shared" si="3"/>
        <v>0</v>
      </c>
      <c r="J65" s="475"/>
      <c r="K65" s="487"/>
      <c r="L65" s="478">
        <f t="shared" si="14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>
      <c r="B66" s="160" t="str">
        <f t="shared" si="4"/>
        <v/>
      </c>
      <c r="C66" s="472">
        <f>IF(D11="","-",+C65+1)</f>
        <v>2064</v>
      </c>
      <c r="D66" s="485">
        <f>IF(F65+SUM(E$17:E65)=D$10,F65,D$10-SUM(E$17:E65))</f>
        <v>0</v>
      </c>
      <c r="E66" s="484">
        <f t="shared" si="10"/>
        <v>0</v>
      </c>
      <c r="F66" s="485">
        <f t="shared" si="11"/>
        <v>0</v>
      </c>
      <c r="G66" s="486">
        <f t="shared" si="12"/>
        <v>0</v>
      </c>
      <c r="H66" s="455">
        <f t="shared" si="13"/>
        <v>0</v>
      </c>
      <c r="I66" s="475">
        <f t="shared" si="3"/>
        <v>0</v>
      </c>
      <c r="J66" s="475"/>
      <c r="K66" s="487"/>
      <c r="L66" s="478">
        <f t="shared" si="14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>
      <c r="B67" s="160" t="str">
        <f t="shared" si="4"/>
        <v/>
      </c>
      <c r="C67" s="472">
        <f>IF(D11="","-",+C66+1)</f>
        <v>2065</v>
      </c>
      <c r="D67" s="485">
        <f>IF(F66+SUM(E$17:E66)=D$10,F66,D$10-SUM(E$17:E66))</f>
        <v>0</v>
      </c>
      <c r="E67" s="484">
        <f t="shared" si="10"/>
        <v>0</v>
      </c>
      <c r="F67" s="485">
        <f t="shared" si="11"/>
        <v>0</v>
      </c>
      <c r="G67" s="486">
        <f t="shared" si="12"/>
        <v>0</v>
      </c>
      <c r="H67" s="455">
        <f t="shared" si="13"/>
        <v>0</v>
      </c>
      <c r="I67" s="475">
        <f t="shared" si="3"/>
        <v>0</v>
      </c>
      <c r="J67" s="475"/>
      <c r="K67" s="487"/>
      <c r="L67" s="478">
        <f t="shared" si="14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>
      <c r="B68" s="160" t="str">
        <f t="shared" si="4"/>
        <v/>
      </c>
      <c r="C68" s="472">
        <f>IF(D11="","-",+C67+1)</f>
        <v>2066</v>
      </c>
      <c r="D68" s="485">
        <f>IF(F67+SUM(E$17:E67)=D$10,F67,D$10-SUM(E$17:E67))</f>
        <v>0</v>
      </c>
      <c r="E68" s="484">
        <f t="shared" si="10"/>
        <v>0</v>
      </c>
      <c r="F68" s="485">
        <f t="shared" si="11"/>
        <v>0</v>
      </c>
      <c r="G68" s="486">
        <f t="shared" si="12"/>
        <v>0</v>
      </c>
      <c r="H68" s="455">
        <f t="shared" si="13"/>
        <v>0</v>
      </c>
      <c r="I68" s="475">
        <f t="shared" si="3"/>
        <v>0</v>
      </c>
      <c r="J68" s="475"/>
      <c r="K68" s="487"/>
      <c r="L68" s="478">
        <f t="shared" si="14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>
      <c r="B69" s="160" t="str">
        <f t="shared" si="4"/>
        <v/>
      </c>
      <c r="C69" s="472">
        <f>IF(D11="","-",+C68+1)</f>
        <v>2067</v>
      </c>
      <c r="D69" s="485">
        <f>IF(F68+SUM(E$17:E68)=D$10,F68,D$10-SUM(E$17:E68))</f>
        <v>0</v>
      </c>
      <c r="E69" s="484">
        <f t="shared" si="10"/>
        <v>0</v>
      </c>
      <c r="F69" s="485">
        <f t="shared" si="11"/>
        <v>0</v>
      </c>
      <c r="G69" s="486">
        <f t="shared" si="12"/>
        <v>0</v>
      </c>
      <c r="H69" s="455">
        <f t="shared" si="13"/>
        <v>0</v>
      </c>
      <c r="I69" s="475">
        <f t="shared" si="3"/>
        <v>0</v>
      </c>
      <c r="J69" s="475"/>
      <c r="K69" s="487"/>
      <c r="L69" s="478">
        <f t="shared" si="14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>
      <c r="B70" s="160" t="str">
        <f t="shared" si="4"/>
        <v/>
      </c>
      <c r="C70" s="472">
        <f>IF(D11="","-",+C69+1)</f>
        <v>2068</v>
      </c>
      <c r="D70" s="485">
        <f>IF(F69+SUM(E$17:E69)=D$10,F69,D$10-SUM(E$17:E69))</f>
        <v>0</v>
      </c>
      <c r="E70" s="484">
        <f t="shared" si="10"/>
        <v>0</v>
      </c>
      <c r="F70" s="485">
        <f t="shared" si="11"/>
        <v>0</v>
      </c>
      <c r="G70" s="486">
        <f t="shared" si="12"/>
        <v>0</v>
      </c>
      <c r="H70" s="455">
        <f t="shared" si="13"/>
        <v>0</v>
      </c>
      <c r="I70" s="475">
        <f t="shared" si="3"/>
        <v>0</v>
      </c>
      <c r="J70" s="475"/>
      <c r="K70" s="487"/>
      <c r="L70" s="478">
        <f t="shared" si="14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>
      <c r="B71" s="160" t="str">
        <f t="shared" si="4"/>
        <v/>
      </c>
      <c r="C71" s="472">
        <f>IF(D11="","-",+C70+1)</f>
        <v>2069</v>
      </c>
      <c r="D71" s="485">
        <f>IF(F70+SUM(E$17:E70)=D$10,F70,D$10-SUM(E$17:E70))</f>
        <v>0</v>
      </c>
      <c r="E71" s="484">
        <f t="shared" si="10"/>
        <v>0</v>
      </c>
      <c r="F71" s="485">
        <f t="shared" si="11"/>
        <v>0</v>
      </c>
      <c r="G71" s="486">
        <f t="shared" si="12"/>
        <v>0</v>
      </c>
      <c r="H71" s="455">
        <f t="shared" si="13"/>
        <v>0</v>
      </c>
      <c r="I71" s="475">
        <f t="shared" si="3"/>
        <v>0</v>
      </c>
      <c r="J71" s="475"/>
      <c r="K71" s="487"/>
      <c r="L71" s="478">
        <f t="shared" si="14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.5" thickBot="1">
      <c r="B72" s="160" t="str">
        <f t="shared" si="4"/>
        <v/>
      </c>
      <c r="C72" s="489">
        <f>IF(D11="","-",+C71+1)</f>
        <v>2070</v>
      </c>
      <c r="D72" s="490">
        <f>IF(F71+SUM(E$17:E71)=D$10,F71,D$10-SUM(E$17:E71))</f>
        <v>0</v>
      </c>
      <c r="E72" s="491">
        <f t="shared" si="10"/>
        <v>0</v>
      </c>
      <c r="F72" s="490">
        <f t="shared" si="11"/>
        <v>0</v>
      </c>
      <c r="G72" s="544">
        <f t="shared" si="12"/>
        <v>0</v>
      </c>
      <c r="H72" s="435">
        <f t="shared" si="13"/>
        <v>0</v>
      </c>
      <c r="I72" s="493">
        <f t="shared" si="3"/>
        <v>0</v>
      </c>
      <c r="J72" s="475"/>
      <c r="K72" s="494"/>
      <c r="L72" s="495">
        <f t="shared" si="14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>
      <c r="C73" s="346" t="s">
        <v>77</v>
      </c>
      <c r="D73" s="347"/>
      <c r="E73" s="347">
        <f>SUM(E17:E72)</f>
        <v>1692023</v>
      </c>
      <c r="F73" s="347"/>
      <c r="G73" s="347">
        <f>SUM(G17:G72)</f>
        <v>5802307.5570485266</v>
      </c>
      <c r="H73" s="347">
        <f>SUM(H17:H72)</f>
        <v>5802307.5570485266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17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205069.7033172223</v>
      </c>
      <c r="N87" s="508">
        <f>IF(J92&lt;D11,0,VLOOKUP(J92,C17:O72,11))</f>
        <v>205069.7033172223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214389.19300086203</v>
      </c>
      <c r="N88" s="512">
        <f>IF(J92&lt;D11,0,VLOOKUP(J92,C99:P154,7))</f>
        <v>214389.19300086203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Grady Customer Connection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9319.4896836397238</v>
      </c>
      <c r="N89" s="517">
        <f>+N88-N87</f>
        <v>9319.4896836397238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TP2013002</v>
      </c>
      <c r="E91" s="522" t="str">
        <f>E9</f>
        <v xml:space="preserve">  SPP Project ID = 30748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1692023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2015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40286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2015</v>
      </c>
      <c r="D99" s="584">
        <v>0</v>
      </c>
      <c r="E99" s="608">
        <v>0</v>
      </c>
      <c r="F99" s="584">
        <v>1625288</v>
      </c>
      <c r="G99" s="608">
        <v>812644</v>
      </c>
      <c r="H99" s="587">
        <v>110878.7398202499</v>
      </c>
      <c r="I99" s="607">
        <v>110878.7398202499</v>
      </c>
      <c r="J99" s="478">
        <f>+I99-H99</f>
        <v>0</v>
      </c>
      <c r="K99" s="478"/>
      <c r="L99" s="554">
        <f>+H99</f>
        <v>110878.7398202499</v>
      </c>
      <c r="M99" s="477">
        <f t="shared" ref="M99:M130" si="15">IF(L99&lt;&gt;0,+H99-L99,0)</f>
        <v>0</v>
      </c>
      <c r="N99" s="554">
        <f>+I99</f>
        <v>110878.7398202499</v>
      </c>
      <c r="O99" s="477">
        <f t="shared" ref="O99:O130" si="16">IF(N99&lt;&gt;0,+I99-N99,0)</f>
        <v>0</v>
      </c>
      <c r="P99" s="477">
        <f t="shared" ref="P99:P130" si="17">+O99-M99</f>
        <v>0</v>
      </c>
    </row>
    <row r="100" spans="1:16">
      <c r="B100" s="160" t="str">
        <f>IF(D100=F99,"","IU")</f>
        <v>IU</v>
      </c>
      <c r="C100" s="472">
        <f>IF(D93="","-",+C99+1)</f>
        <v>2016</v>
      </c>
      <c r="D100" s="584">
        <v>1692023</v>
      </c>
      <c r="E100" s="585">
        <v>36783</v>
      </c>
      <c r="F100" s="586">
        <v>1655240</v>
      </c>
      <c r="G100" s="586">
        <v>1673631.5</v>
      </c>
      <c r="H100" s="606">
        <v>252540.45816220198</v>
      </c>
      <c r="I100" s="607">
        <v>252540.45816220198</v>
      </c>
      <c r="J100" s="478">
        <f>+I100-H100</f>
        <v>0</v>
      </c>
      <c r="K100" s="478"/>
      <c r="L100" s="476">
        <f>H100</f>
        <v>252540.45816220198</v>
      </c>
      <c r="M100" s="603">
        <f>IF(L100&lt;&gt;0,+H100-L100,0)</f>
        <v>0</v>
      </c>
      <c r="N100" s="476">
        <f>I100</f>
        <v>252540.45816220198</v>
      </c>
      <c r="O100" s="478">
        <f>IF(N100&lt;&gt;0,+I100-N100,0)</f>
        <v>0</v>
      </c>
      <c r="P100" s="475">
        <f>+O100-M100</f>
        <v>0</v>
      </c>
    </row>
    <row r="101" spans="1:16">
      <c r="B101" s="160" t="str">
        <f t="shared" ref="B101:B154" si="18">IF(D101=F100,"","IU")</f>
        <v/>
      </c>
      <c r="C101" s="472">
        <f>IF(D93="","-",+C100+1)</f>
        <v>2017</v>
      </c>
      <c r="D101" s="584">
        <v>1655240</v>
      </c>
      <c r="E101" s="585">
        <v>36783</v>
      </c>
      <c r="F101" s="586">
        <v>1618457</v>
      </c>
      <c r="G101" s="586">
        <v>1636848.5</v>
      </c>
      <c r="H101" s="606">
        <v>244421.35953995908</v>
      </c>
      <c r="I101" s="607">
        <v>244421.35953995908</v>
      </c>
      <c r="J101" s="478">
        <f t="shared" ref="J101:J154" si="19">+I101-H101</f>
        <v>0</v>
      </c>
      <c r="K101" s="478"/>
      <c r="L101" s="476">
        <f>H101</f>
        <v>244421.35953995908</v>
      </c>
      <c r="M101" s="603">
        <f>IF(L101&lt;&gt;0,+H101-L101,0)</f>
        <v>0</v>
      </c>
      <c r="N101" s="476">
        <f>I101</f>
        <v>244421.35953995908</v>
      </c>
      <c r="O101" s="478">
        <f>IF(N101&lt;&gt;0,+I101-N101,0)</f>
        <v>0</v>
      </c>
      <c r="P101" s="475">
        <f>+O101-M101</f>
        <v>0</v>
      </c>
    </row>
    <row r="102" spans="1:16">
      <c r="B102" s="160" t="str">
        <f t="shared" si="18"/>
        <v/>
      </c>
      <c r="C102" s="472">
        <f>IF(D93="","-",+C101+1)</f>
        <v>2018</v>
      </c>
      <c r="D102" s="584">
        <v>1618457</v>
      </c>
      <c r="E102" s="585">
        <v>39349</v>
      </c>
      <c r="F102" s="586">
        <v>1579108</v>
      </c>
      <c r="G102" s="586">
        <v>1598782.5</v>
      </c>
      <c r="H102" s="606">
        <v>203600.82637045698</v>
      </c>
      <c r="I102" s="607">
        <v>203600.82637045698</v>
      </c>
      <c r="J102" s="478">
        <f t="shared" si="19"/>
        <v>0</v>
      </c>
      <c r="K102" s="478"/>
      <c r="L102" s="476">
        <f>H102</f>
        <v>203600.82637045698</v>
      </c>
      <c r="M102" s="603">
        <f>IF(L102&lt;&gt;0,+H102-L102,0)</f>
        <v>0</v>
      </c>
      <c r="N102" s="476">
        <f>I102</f>
        <v>203600.82637045698</v>
      </c>
      <c r="O102" s="478">
        <f>IF(N102&lt;&gt;0,+I102-N102,0)</f>
        <v>0</v>
      </c>
      <c r="P102" s="475">
        <f>+O102-M102</f>
        <v>0</v>
      </c>
    </row>
    <row r="103" spans="1:16">
      <c r="B103" s="160" t="str">
        <f t="shared" si="18"/>
        <v/>
      </c>
      <c r="C103" s="472">
        <f>IF(D93="","-",+C102+1)</f>
        <v>2019</v>
      </c>
      <c r="D103" s="584">
        <v>1579108</v>
      </c>
      <c r="E103" s="585">
        <v>41269</v>
      </c>
      <c r="F103" s="586">
        <v>1537839</v>
      </c>
      <c r="G103" s="586">
        <v>1558473.5</v>
      </c>
      <c r="H103" s="606">
        <v>201969.47712497122</v>
      </c>
      <c r="I103" s="607">
        <v>201969.47712497122</v>
      </c>
      <c r="J103" s="478">
        <f t="shared" si="19"/>
        <v>0</v>
      </c>
      <c r="K103" s="478"/>
      <c r="L103" s="476">
        <f>H103</f>
        <v>201969.47712497122</v>
      </c>
      <c r="M103" s="603">
        <f>IF(L103&lt;&gt;0,+H103-L103,0)</f>
        <v>0</v>
      </c>
      <c r="N103" s="476">
        <f>I103</f>
        <v>201969.47712497122</v>
      </c>
      <c r="O103" s="478">
        <f t="shared" si="16"/>
        <v>0</v>
      </c>
      <c r="P103" s="478">
        <f t="shared" si="17"/>
        <v>0</v>
      </c>
    </row>
    <row r="104" spans="1:16">
      <c r="B104" s="160" t="str">
        <f t="shared" si="18"/>
        <v/>
      </c>
      <c r="C104" s="472">
        <f>IF(D93="","-",+C103+1)</f>
        <v>2020</v>
      </c>
      <c r="D104" s="584">
        <v>1537839</v>
      </c>
      <c r="E104" s="585">
        <v>39349</v>
      </c>
      <c r="F104" s="586">
        <v>1498490</v>
      </c>
      <c r="G104" s="586">
        <v>1518164.5</v>
      </c>
      <c r="H104" s="606">
        <v>214389.19300086203</v>
      </c>
      <c r="I104" s="607">
        <v>214389.19300086203</v>
      </c>
      <c r="J104" s="478">
        <f t="shared" si="19"/>
        <v>0</v>
      </c>
      <c r="K104" s="478"/>
      <c r="L104" s="476">
        <f>H104</f>
        <v>214389.19300086203</v>
      </c>
      <c r="M104" s="603">
        <f>IF(L104&lt;&gt;0,+H104-L104,0)</f>
        <v>0</v>
      </c>
      <c r="N104" s="476">
        <f>I104</f>
        <v>214389.19300086203</v>
      </c>
      <c r="O104" s="478">
        <f t="shared" si="16"/>
        <v>0</v>
      </c>
      <c r="P104" s="478">
        <f t="shared" si="17"/>
        <v>0</v>
      </c>
    </row>
    <row r="105" spans="1:16">
      <c r="B105" s="160" t="str">
        <f t="shared" si="18"/>
        <v/>
      </c>
      <c r="C105" s="472">
        <f>IF(D93="","-",+C104+1)</f>
        <v>2021</v>
      </c>
      <c r="D105" s="346">
        <f>IF(F104+SUM(E$99:E104)=D$92,F104,D$92-SUM(E$99:E104))</f>
        <v>1498490</v>
      </c>
      <c r="E105" s="484">
        <f t="shared" ref="E105:E154" si="20">IF(+J$96&lt;F104,J$96,D105)</f>
        <v>40286</v>
      </c>
      <c r="F105" s="485">
        <f t="shared" ref="F105:F154" si="21">+D105-E105</f>
        <v>1458204</v>
      </c>
      <c r="G105" s="485">
        <f t="shared" ref="G105:G154" si="22">+(F105+D105)/2</f>
        <v>1478347</v>
      </c>
      <c r="H105" s="488">
        <f t="shared" ref="H105:H154" si="23">+J$94*G105+E105</f>
        <v>199668.4318054133</v>
      </c>
      <c r="I105" s="542">
        <f t="shared" ref="I105:I154" si="24">+J$95*G105+E105</f>
        <v>199668.4318054133</v>
      </c>
      <c r="J105" s="478">
        <f t="shared" si="19"/>
        <v>0</v>
      </c>
      <c r="K105" s="478"/>
      <c r="L105" s="487"/>
      <c r="M105" s="478">
        <f t="shared" si="15"/>
        <v>0</v>
      </c>
      <c r="N105" s="487"/>
      <c r="O105" s="478">
        <f t="shared" si="16"/>
        <v>0</v>
      </c>
      <c r="P105" s="478">
        <f t="shared" si="17"/>
        <v>0</v>
      </c>
    </row>
    <row r="106" spans="1:16">
      <c r="B106" s="160" t="str">
        <f t="shared" si="18"/>
        <v/>
      </c>
      <c r="C106" s="472">
        <f>IF(D93="","-",+C105+1)</f>
        <v>2022</v>
      </c>
      <c r="D106" s="346">
        <f>IF(F105+SUM(E$99:E105)=D$92,F105,D$92-SUM(E$99:E105))</f>
        <v>1458204</v>
      </c>
      <c r="E106" s="484">
        <f t="shared" si="20"/>
        <v>40286</v>
      </c>
      <c r="F106" s="485">
        <f t="shared" si="21"/>
        <v>1417918</v>
      </c>
      <c r="G106" s="485">
        <f t="shared" si="22"/>
        <v>1438061</v>
      </c>
      <c r="H106" s="488">
        <f t="shared" si="23"/>
        <v>195325.14795682236</v>
      </c>
      <c r="I106" s="542">
        <f t="shared" si="24"/>
        <v>195325.14795682236</v>
      </c>
      <c r="J106" s="478">
        <f t="shared" si="19"/>
        <v>0</v>
      </c>
      <c r="K106" s="478"/>
      <c r="L106" s="487"/>
      <c r="M106" s="478">
        <f t="shared" si="15"/>
        <v>0</v>
      </c>
      <c r="N106" s="487"/>
      <c r="O106" s="478">
        <f t="shared" si="16"/>
        <v>0</v>
      </c>
      <c r="P106" s="478">
        <f t="shared" si="17"/>
        <v>0</v>
      </c>
    </row>
    <row r="107" spans="1:16">
      <c r="B107" s="160" t="str">
        <f t="shared" si="18"/>
        <v/>
      </c>
      <c r="C107" s="472">
        <f>IF(D93="","-",+C106+1)</f>
        <v>2023</v>
      </c>
      <c r="D107" s="346">
        <f>IF(F106+SUM(E$99:E106)=D$92,F106,D$92-SUM(E$99:E106))</f>
        <v>1417918</v>
      </c>
      <c r="E107" s="484">
        <f t="shared" si="20"/>
        <v>40286</v>
      </c>
      <c r="F107" s="485">
        <f t="shared" si="21"/>
        <v>1377632</v>
      </c>
      <c r="G107" s="485">
        <f t="shared" si="22"/>
        <v>1397775</v>
      </c>
      <c r="H107" s="488">
        <f t="shared" si="23"/>
        <v>190981.86410823141</v>
      </c>
      <c r="I107" s="542">
        <f t="shared" si="24"/>
        <v>190981.86410823141</v>
      </c>
      <c r="J107" s="478">
        <f t="shared" si="19"/>
        <v>0</v>
      </c>
      <c r="K107" s="478"/>
      <c r="L107" s="487"/>
      <c r="M107" s="478">
        <f t="shared" si="15"/>
        <v>0</v>
      </c>
      <c r="N107" s="487"/>
      <c r="O107" s="478">
        <f t="shared" si="16"/>
        <v>0</v>
      </c>
      <c r="P107" s="478">
        <f t="shared" si="17"/>
        <v>0</v>
      </c>
    </row>
    <row r="108" spans="1:16">
      <c r="B108" s="160" t="str">
        <f t="shared" si="18"/>
        <v/>
      </c>
      <c r="C108" s="472">
        <f>IF(D93="","-",+C107+1)</f>
        <v>2024</v>
      </c>
      <c r="D108" s="346">
        <f>IF(F107+SUM(E$99:E107)=D$92,F107,D$92-SUM(E$99:E107))</f>
        <v>1377632</v>
      </c>
      <c r="E108" s="484">
        <f t="shared" si="20"/>
        <v>40286</v>
      </c>
      <c r="F108" s="485">
        <f t="shared" si="21"/>
        <v>1337346</v>
      </c>
      <c r="G108" s="485">
        <f t="shared" si="22"/>
        <v>1357489</v>
      </c>
      <c r="H108" s="488">
        <f t="shared" si="23"/>
        <v>186638.58025964047</v>
      </c>
      <c r="I108" s="542">
        <f t="shared" si="24"/>
        <v>186638.58025964047</v>
      </c>
      <c r="J108" s="478">
        <f t="shared" si="19"/>
        <v>0</v>
      </c>
      <c r="K108" s="478"/>
      <c r="L108" s="487"/>
      <c r="M108" s="478">
        <f t="shared" si="15"/>
        <v>0</v>
      </c>
      <c r="N108" s="487"/>
      <c r="O108" s="478">
        <f t="shared" si="16"/>
        <v>0</v>
      </c>
      <c r="P108" s="478">
        <f t="shared" si="17"/>
        <v>0</v>
      </c>
    </row>
    <row r="109" spans="1:16">
      <c r="B109" s="160" t="str">
        <f t="shared" si="18"/>
        <v/>
      </c>
      <c r="C109" s="472">
        <f>IF(D93="","-",+C108+1)</f>
        <v>2025</v>
      </c>
      <c r="D109" s="346">
        <f>IF(F108+SUM(E$99:E108)=D$92,F108,D$92-SUM(E$99:E108))</f>
        <v>1337346</v>
      </c>
      <c r="E109" s="484">
        <f t="shared" si="20"/>
        <v>40286</v>
      </c>
      <c r="F109" s="485">
        <f t="shared" si="21"/>
        <v>1297060</v>
      </c>
      <c r="G109" s="485">
        <f t="shared" si="22"/>
        <v>1317203</v>
      </c>
      <c r="H109" s="488">
        <f t="shared" si="23"/>
        <v>182295.29641104952</v>
      </c>
      <c r="I109" s="542">
        <f t="shared" si="24"/>
        <v>182295.29641104952</v>
      </c>
      <c r="J109" s="478">
        <f t="shared" si="19"/>
        <v>0</v>
      </c>
      <c r="K109" s="478"/>
      <c r="L109" s="487"/>
      <c r="M109" s="478">
        <f t="shared" si="15"/>
        <v>0</v>
      </c>
      <c r="N109" s="487"/>
      <c r="O109" s="478">
        <f t="shared" si="16"/>
        <v>0</v>
      </c>
      <c r="P109" s="478">
        <f t="shared" si="17"/>
        <v>0</v>
      </c>
    </row>
    <row r="110" spans="1:16">
      <c r="B110" s="160" t="str">
        <f t="shared" si="18"/>
        <v/>
      </c>
      <c r="C110" s="472">
        <f>IF(D93="","-",+C109+1)</f>
        <v>2026</v>
      </c>
      <c r="D110" s="346">
        <f>IF(F109+SUM(E$99:E109)=D$92,F109,D$92-SUM(E$99:E109))</f>
        <v>1297060</v>
      </c>
      <c r="E110" s="484">
        <f t="shared" si="20"/>
        <v>40286</v>
      </c>
      <c r="F110" s="485">
        <f t="shared" si="21"/>
        <v>1256774</v>
      </c>
      <c r="G110" s="485">
        <f t="shared" si="22"/>
        <v>1276917</v>
      </c>
      <c r="H110" s="488">
        <f t="shared" si="23"/>
        <v>177952.01256245858</v>
      </c>
      <c r="I110" s="542">
        <f t="shared" si="24"/>
        <v>177952.01256245858</v>
      </c>
      <c r="J110" s="478">
        <f t="shared" si="19"/>
        <v>0</v>
      </c>
      <c r="K110" s="478"/>
      <c r="L110" s="487"/>
      <c r="M110" s="478">
        <f t="shared" si="15"/>
        <v>0</v>
      </c>
      <c r="N110" s="487"/>
      <c r="O110" s="478">
        <f t="shared" si="16"/>
        <v>0</v>
      </c>
      <c r="P110" s="478">
        <f t="shared" si="17"/>
        <v>0</v>
      </c>
    </row>
    <row r="111" spans="1:16">
      <c r="B111" s="160" t="str">
        <f t="shared" si="18"/>
        <v/>
      </c>
      <c r="C111" s="472">
        <f>IF(D93="","-",+C110+1)</f>
        <v>2027</v>
      </c>
      <c r="D111" s="346">
        <f>IF(F110+SUM(E$99:E110)=D$92,F110,D$92-SUM(E$99:E110))</f>
        <v>1256774</v>
      </c>
      <c r="E111" s="484">
        <f t="shared" si="20"/>
        <v>40286</v>
      </c>
      <c r="F111" s="485">
        <f t="shared" si="21"/>
        <v>1216488</v>
      </c>
      <c r="G111" s="485">
        <f t="shared" si="22"/>
        <v>1236631</v>
      </c>
      <c r="H111" s="488">
        <f t="shared" si="23"/>
        <v>173608.72871386763</v>
      </c>
      <c r="I111" s="542">
        <f t="shared" si="24"/>
        <v>173608.72871386763</v>
      </c>
      <c r="J111" s="478">
        <f t="shared" si="19"/>
        <v>0</v>
      </c>
      <c r="K111" s="478"/>
      <c r="L111" s="487"/>
      <c r="M111" s="478">
        <f t="shared" si="15"/>
        <v>0</v>
      </c>
      <c r="N111" s="487"/>
      <c r="O111" s="478">
        <f t="shared" si="16"/>
        <v>0</v>
      </c>
      <c r="P111" s="478">
        <f t="shared" si="17"/>
        <v>0</v>
      </c>
    </row>
    <row r="112" spans="1:16">
      <c r="B112" s="160" t="str">
        <f t="shared" si="18"/>
        <v/>
      </c>
      <c r="C112" s="472">
        <f>IF(D93="","-",+C111+1)</f>
        <v>2028</v>
      </c>
      <c r="D112" s="346">
        <f>IF(F111+SUM(E$99:E111)=D$92,F111,D$92-SUM(E$99:E111))</f>
        <v>1216488</v>
      </c>
      <c r="E112" s="484">
        <f t="shared" si="20"/>
        <v>40286</v>
      </c>
      <c r="F112" s="485">
        <f t="shared" si="21"/>
        <v>1176202</v>
      </c>
      <c r="G112" s="485">
        <f t="shared" si="22"/>
        <v>1196345</v>
      </c>
      <c r="H112" s="488">
        <f t="shared" si="23"/>
        <v>169265.44486527669</v>
      </c>
      <c r="I112" s="542">
        <f t="shared" si="24"/>
        <v>169265.44486527669</v>
      </c>
      <c r="J112" s="478">
        <f t="shared" si="19"/>
        <v>0</v>
      </c>
      <c r="K112" s="478"/>
      <c r="L112" s="487"/>
      <c r="M112" s="478">
        <f t="shared" si="15"/>
        <v>0</v>
      </c>
      <c r="N112" s="487"/>
      <c r="O112" s="478">
        <f t="shared" si="16"/>
        <v>0</v>
      </c>
      <c r="P112" s="478">
        <f t="shared" si="17"/>
        <v>0</v>
      </c>
    </row>
    <row r="113" spans="2:16">
      <c r="B113" s="160" t="str">
        <f t="shared" si="18"/>
        <v/>
      </c>
      <c r="C113" s="472">
        <f>IF(D93="","-",+C112+1)</f>
        <v>2029</v>
      </c>
      <c r="D113" s="346">
        <f>IF(F112+SUM(E$99:E112)=D$92,F112,D$92-SUM(E$99:E112))</f>
        <v>1176202</v>
      </c>
      <c r="E113" s="484">
        <f t="shared" si="20"/>
        <v>40286</v>
      </c>
      <c r="F113" s="485">
        <f t="shared" si="21"/>
        <v>1135916</v>
      </c>
      <c r="G113" s="485">
        <f t="shared" si="22"/>
        <v>1156059</v>
      </c>
      <c r="H113" s="488">
        <f t="shared" si="23"/>
        <v>164922.16101668571</v>
      </c>
      <c r="I113" s="542">
        <f t="shared" si="24"/>
        <v>164922.16101668571</v>
      </c>
      <c r="J113" s="478">
        <f t="shared" si="19"/>
        <v>0</v>
      </c>
      <c r="K113" s="478"/>
      <c r="L113" s="487"/>
      <c r="M113" s="478">
        <f t="shared" si="15"/>
        <v>0</v>
      </c>
      <c r="N113" s="487"/>
      <c r="O113" s="478">
        <f t="shared" si="16"/>
        <v>0</v>
      </c>
      <c r="P113" s="478">
        <f t="shared" si="17"/>
        <v>0</v>
      </c>
    </row>
    <row r="114" spans="2:16">
      <c r="B114" s="160" t="str">
        <f t="shared" si="18"/>
        <v/>
      </c>
      <c r="C114" s="472">
        <f>IF(D93="","-",+C113+1)</f>
        <v>2030</v>
      </c>
      <c r="D114" s="346">
        <f>IF(F113+SUM(E$99:E113)=D$92,F113,D$92-SUM(E$99:E113))</f>
        <v>1135916</v>
      </c>
      <c r="E114" s="484">
        <f t="shared" si="20"/>
        <v>40286</v>
      </c>
      <c r="F114" s="485">
        <f t="shared" si="21"/>
        <v>1095630</v>
      </c>
      <c r="G114" s="485">
        <f t="shared" si="22"/>
        <v>1115773</v>
      </c>
      <c r="H114" s="488">
        <f t="shared" si="23"/>
        <v>160578.8771680948</v>
      </c>
      <c r="I114" s="542">
        <f t="shared" si="24"/>
        <v>160578.8771680948</v>
      </c>
      <c r="J114" s="478">
        <f t="shared" si="19"/>
        <v>0</v>
      </c>
      <c r="K114" s="478"/>
      <c r="L114" s="487"/>
      <c r="M114" s="478">
        <f t="shared" si="15"/>
        <v>0</v>
      </c>
      <c r="N114" s="487"/>
      <c r="O114" s="478">
        <f t="shared" si="16"/>
        <v>0</v>
      </c>
      <c r="P114" s="478">
        <f t="shared" si="17"/>
        <v>0</v>
      </c>
    </row>
    <row r="115" spans="2:16">
      <c r="B115" s="160" t="str">
        <f t="shared" si="18"/>
        <v/>
      </c>
      <c r="C115" s="472">
        <f>IF(D93="","-",+C114+1)</f>
        <v>2031</v>
      </c>
      <c r="D115" s="346">
        <f>IF(F114+SUM(E$99:E114)=D$92,F114,D$92-SUM(E$99:E114))</f>
        <v>1095630</v>
      </c>
      <c r="E115" s="484">
        <f t="shared" si="20"/>
        <v>40286</v>
      </c>
      <c r="F115" s="485">
        <f t="shared" si="21"/>
        <v>1055344</v>
      </c>
      <c r="G115" s="485">
        <f t="shared" si="22"/>
        <v>1075487</v>
      </c>
      <c r="H115" s="488">
        <f t="shared" si="23"/>
        <v>156235.59331950382</v>
      </c>
      <c r="I115" s="542">
        <f t="shared" si="24"/>
        <v>156235.59331950382</v>
      </c>
      <c r="J115" s="478">
        <f t="shared" si="19"/>
        <v>0</v>
      </c>
      <c r="K115" s="478"/>
      <c r="L115" s="487"/>
      <c r="M115" s="478">
        <f t="shared" si="15"/>
        <v>0</v>
      </c>
      <c r="N115" s="487"/>
      <c r="O115" s="478">
        <f t="shared" si="16"/>
        <v>0</v>
      </c>
      <c r="P115" s="478">
        <f t="shared" si="17"/>
        <v>0</v>
      </c>
    </row>
    <row r="116" spans="2:16">
      <c r="B116" s="160" t="str">
        <f t="shared" si="18"/>
        <v/>
      </c>
      <c r="C116" s="472">
        <f>IF(D93="","-",+C115+1)</f>
        <v>2032</v>
      </c>
      <c r="D116" s="346">
        <f>IF(F115+SUM(E$99:E115)=D$92,F115,D$92-SUM(E$99:E115))</f>
        <v>1055344</v>
      </c>
      <c r="E116" s="484">
        <f t="shared" si="20"/>
        <v>40286</v>
      </c>
      <c r="F116" s="485">
        <f t="shared" si="21"/>
        <v>1015058</v>
      </c>
      <c r="G116" s="485">
        <f t="shared" si="22"/>
        <v>1035201</v>
      </c>
      <c r="H116" s="488">
        <f t="shared" si="23"/>
        <v>151892.30947091291</v>
      </c>
      <c r="I116" s="542">
        <f t="shared" si="24"/>
        <v>151892.30947091291</v>
      </c>
      <c r="J116" s="478">
        <f t="shared" si="19"/>
        <v>0</v>
      </c>
      <c r="K116" s="478"/>
      <c r="L116" s="487"/>
      <c r="M116" s="478">
        <f t="shared" si="15"/>
        <v>0</v>
      </c>
      <c r="N116" s="487"/>
      <c r="O116" s="478">
        <f t="shared" si="16"/>
        <v>0</v>
      </c>
      <c r="P116" s="478">
        <f t="shared" si="17"/>
        <v>0</v>
      </c>
    </row>
    <row r="117" spans="2:16">
      <c r="B117" s="160" t="str">
        <f t="shared" si="18"/>
        <v/>
      </c>
      <c r="C117" s="472">
        <f>IF(D93="","-",+C116+1)</f>
        <v>2033</v>
      </c>
      <c r="D117" s="346">
        <f>IF(F116+SUM(E$99:E116)=D$92,F116,D$92-SUM(E$99:E116))</f>
        <v>1015058</v>
      </c>
      <c r="E117" s="484">
        <f t="shared" si="20"/>
        <v>40286</v>
      </c>
      <c r="F117" s="485">
        <f t="shared" si="21"/>
        <v>974772</v>
      </c>
      <c r="G117" s="485">
        <f t="shared" si="22"/>
        <v>994915</v>
      </c>
      <c r="H117" s="488">
        <f t="shared" si="23"/>
        <v>147549.02562232193</v>
      </c>
      <c r="I117" s="542">
        <f t="shared" si="24"/>
        <v>147549.02562232193</v>
      </c>
      <c r="J117" s="478">
        <f t="shared" si="19"/>
        <v>0</v>
      </c>
      <c r="K117" s="478"/>
      <c r="L117" s="487"/>
      <c r="M117" s="478">
        <f t="shared" si="15"/>
        <v>0</v>
      </c>
      <c r="N117" s="487"/>
      <c r="O117" s="478">
        <f t="shared" si="16"/>
        <v>0</v>
      </c>
      <c r="P117" s="478">
        <f t="shared" si="17"/>
        <v>0</v>
      </c>
    </row>
    <row r="118" spans="2:16">
      <c r="B118" s="160" t="str">
        <f t="shared" si="18"/>
        <v/>
      </c>
      <c r="C118" s="472">
        <f>IF(D93="","-",+C117+1)</f>
        <v>2034</v>
      </c>
      <c r="D118" s="346">
        <f>IF(F117+SUM(E$99:E117)=D$92,F117,D$92-SUM(E$99:E117))</f>
        <v>974772</v>
      </c>
      <c r="E118" s="484">
        <f t="shared" si="20"/>
        <v>40286</v>
      </c>
      <c r="F118" s="485">
        <f t="shared" si="21"/>
        <v>934486</v>
      </c>
      <c r="G118" s="485">
        <f t="shared" si="22"/>
        <v>954629</v>
      </c>
      <c r="H118" s="488">
        <f t="shared" si="23"/>
        <v>143205.74177373102</v>
      </c>
      <c r="I118" s="542">
        <f t="shared" si="24"/>
        <v>143205.74177373102</v>
      </c>
      <c r="J118" s="478">
        <f t="shared" si="19"/>
        <v>0</v>
      </c>
      <c r="K118" s="478"/>
      <c r="L118" s="487"/>
      <c r="M118" s="478">
        <f t="shared" si="15"/>
        <v>0</v>
      </c>
      <c r="N118" s="487"/>
      <c r="O118" s="478">
        <f t="shared" si="16"/>
        <v>0</v>
      </c>
      <c r="P118" s="478">
        <f t="shared" si="17"/>
        <v>0</v>
      </c>
    </row>
    <row r="119" spans="2:16">
      <c r="B119" s="160" t="str">
        <f t="shared" si="18"/>
        <v/>
      </c>
      <c r="C119" s="472">
        <f>IF(D93="","-",+C118+1)</f>
        <v>2035</v>
      </c>
      <c r="D119" s="346">
        <f>IF(F118+SUM(E$99:E118)=D$92,F118,D$92-SUM(E$99:E118))</f>
        <v>934486</v>
      </c>
      <c r="E119" s="484">
        <f t="shared" si="20"/>
        <v>40286</v>
      </c>
      <c r="F119" s="485">
        <f t="shared" si="21"/>
        <v>894200</v>
      </c>
      <c r="G119" s="485">
        <f t="shared" si="22"/>
        <v>914343</v>
      </c>
      <c r="H119" s="488">
        <f t="shared" si="23"/>
        <v>138862.45792514004</v>
      </c>
      <c r="I119" s="542">
        <f t="shared" si="24"/>
        <v>138862.45792514004</v>
      </c>
      <c r="J119" s="478">
        <f t="shared" si="19"/>
        <v>0</v>
      </c>
      <c r="K119" s="478"/>
      <c r="L119" s="487"/>
      <c r="M119" s="478">
        <f t="shared" si="15"/>
        <v>0</v>
      </c>
      <c r="N119" s="487"/>
      <c r="O119" s="478">
        <f t="shared" si="16"/>
        <v>0</v>
      </c>
      <c r="P119" s="478">
        <f t="shared" si="17"/>
        <v>0</v>
      </c>
    </row>
    <row r="120" spans="2:16">
      <c r="B120" s="160" t="str">
        <f t="shared" si="18"/>
        <v/>
      </c>
      <c r="C120" s="472">
        <f>IF(D93="","-",+C119+1)</f>
        <v>2036</v>
      </c>
      <c r="D120" s="346">
        <f>IF(F119+SUM(E$99:E119)=D$92,F119,D$92-SUM(E$99:E119))</f>
        <v>894200</v>
      </c>
      <c r="E120" s="484">
        <f t="shared" si="20"/>
        <v>40286</v>
      </c>
      <c r="F120" s="485">
        <f t="shared" si="21"/>
        <v>853914</v>
      </c>
      <c r="G120" s="485">
        <f t="shared" si="22"/>
        <v>874057</v>
      </c>
      <c r="H120" s="488">
        <f t="shared" si="23"/>
        <v>134519.1740765491</v>
      </c>
      <c r="I120" s="542">
        <f t="shared" si="24"/>
        <v>134519.1740765491</v>
      </c>
      <c r="J120" s="478">
        <f t="shared" si="19"/>
        <v>0</v>
      </c>
      <c r="K120" s="478"/>
      <c r="L120" s="487"/>
      <c r="M120" s="478">
        <f t="shared" si="15"/>
        <v>0</v>
      </c>
      <c r="N120" s="487"/>
      <c r="O120" s="478">
        <f t="shared" si="16"/>
        <v>0</v>
      </c>
      <c r="P120" s="478">
        <f t="shared" si="17"/>
        <v>0</v>
      </c>
    </row>
    <row r="121" spans="2:16">
      <c r="B121" s="160" t="str">
        <f t="shared" si="18"/>
        <v/>
      </c>
      <c r="C121" s="472">
        <f>IF(D93="","-",+C120+1)</f>
        <v>2037</v>
      </c>
      <c r="D121" s="346">
        <f>IF(F120+SUM(E$99:E120)=D$92,F120,D$92-SUM(E$99:E120))</f>
        <v>853914</v>
      </c>
      <c r="E121" s="484">
        <f t="shared" si="20"/>
        <v>40286</v>
      </c>
      <c r="F121" s="485">
        <f t="shared" si="21"/>
        <v>813628</v>
      </c>
      <c r="G121" s="485">
        <f t="shared" si="22"/>
        <v>833771</v>
      </c>
      <c r="H121" s="488">
        <f t="shared" si="23"/>
        <v>130175.89022795815</v>
      </c>
      <c r="I121" s="542">
        <f t="shared" si="24"/>
        <v>130175.89022795815</v>
      </c>
      <c r="J121" s="478">
        <f t="shared" si="19"/>
        <v>0</v>
      </c>
      <c r="K121" s="478"/>
      <c r="L121" s="487"/>
      <c r="M121" s="478">
        <f t="shared" si="15"/>
        <v>0</v>
      </c>
      <c r="N121" s="487"/>
      <c r="O121" s="478">
        <f t="shared" si="16"/>
        <v>0</v>
      </c>
      <c r="P121" s="478">
        <f t="shared" si="17"/>
        <v>0</v>
      </c>
    </row>
    <row r="122" spans="2:16">
      <c r="B122" s="160" t="str">
        <f t="shared" si="18"/>
        <v/>
      </c>
      <c r="C122" s="472">
        <f>IF(D93="","-",+C121+1)</f>
        <v>2038</v>
      </c>
      <c r="D122" s="346">
        <f>IF(F121+SUM(E$99:E121)=D$92,F121,D$92-SUM(E$99:E121))</f>
        <v>813628</v>
      </c>
      <c r="E122" s="484">
        <f t="shared" si="20"/>
        <v>40286</v>
      </c>
      <c r="F122" s="485">
        <f t="shared" si="21"/>
        <v>773342</v>
      </c>
      <c r="G122" s="485">
        <f t="shared" si="22"/>
        <v>793485</v>
      </c>
      <c r="H122" s="488">
        <f t="shared" si="23"/>
        <v>125832.60637936721</v>
      </c>
      <c r="I122" s="542">
        <f t="shared" si="24"/>
        <v>125832.60637936721</v>
      </c>
      <c r="J122" s="478">
        <f t="shared" si="19"/>
        <v>0</v>
      </c>
      <c r="K122" s="478"/>
      <c r="L122" s="487"/>
      <c r="M122" s="478">
        <f t="shared" si="15"/>
        <v>0</v>
      </c>
      <c r="N122" s="487"/>
      <c r="O122" s="478">
        <f t="shared" si="16"/>
        <v>0</v>
      </c>
      <c r="P122" s="478">
        <f t="shared" si="17"/>
        <v>0</v>
      </c>
    </row>
    <row r="123" spans="2:16">
      <c r="B123" s="160" t="str">
        <f t="shared" si="18"/>
        <v/>
      </c>
      <c r="C123" s="472">
        <f>IF(D93="","-",+C122+1)</f>
        <v>2039</v>
      </c>
      <c r="D123" s="346">
        <f>IF(F122+SUM(E$99:E122)=D$92,F122,D$92-SUM(E$99:E122))</f>
        <v>773342</v>
      </c>
      <c r="E123" s="484">
        <f t="shared" si="20"/>
        <v>40286</v>
      </c>
      <c r="F123" s="485">
        <f t="shared" si="21"/>
        <v>733056</v>
      </c>
      <c r="G123" s="485">
        <f t="shared" si="22"/>
        <v>753199</v>
      </c>
      <c r="H123" s="488">
        <f t="shared" si="23"/>
        <v>121489.32253077626</v>
      </c>
      <c r="I123" s="542">
        <f t="shared" si="24"/>
        <v>121489.32253077626</v>
      </c>
      <c r="J123" s="478">
        <f t="shared" si="19"/>
        <v>0</v>
      </c>
      <c r="K123" s="478"/>
      <c r="L123" s="487"/>
      <c r="M123" s="478">
        <f t="shared" si="15"/>
        <v>0</v>
      </c>
      <c r="N123" s="487"/>
      <c r="O123" s="478">
        <f t="shared" si="16"/>
        <v>0</v>
      </c>
      <c r="P123" s="478">
        <f t="shared" si="17"/>
        <v>0</v>
      </c>
    </row>
    <row r="124" spans="2:16">
      <c r="B124" s="160" t="str">
        <f t="shared" si="18"/>
        <v/>
      </c>
      <c r="C124" s="472">
        <f>IF(D93="","-",+C123+1)</f>
        <v>2040</v>
      </c>
      <c r="D124" s="346">
        <f>IF(F123+SUM(E$99:E123)=D$92,F123,D$92-SUM(E$99:E123))</f>
        <v>733056</v>
      </c>
      <c r="E124" s="484">
        <f t="shared" si="20"/>
        <v>40286</v>
      </c>
      <c r="F124" s="485">
        <f t="shared" si="21"/>
        <v>692770</v>
      </c>
      <c r="G124" s="485">
        <f t="shared" si="22"/>
        <v>712913</v>
      </c>
      <c r="H124" s="488">
        <f t="shared" si="23"/>
        <v>117146.03868218532</v>
      </c>
      <c r="I124" s="542">
        <f t="shared" si="24"/>
        <v>117146.03868218532</v>
      </c>
      <c r="J124" s="478">
        <f t="shared" si="19"/>
        <v>0</v>
      </c>
      <c r="K124" s="478"/>
      <c r="L124" s="487"/>
      <c r="M124" s="478">
        <f t="shared" si="15"/>
        <v>0</v>
      </c>
      <c r="N124" s="487"/>
      <c r="O124" s="478">
        <f t="shared" si="16"/>
        <v>0</v>
      </c>
      <c r="P124" s="478">
        <f t="shared" si="17"/>
        <v>0</v>
      </c>
    </row>
    <row r="125" spans="2:16">
      <c r="B125" s="160" t="str">
        <f t="shared" si="18"/>
        <v/>
      </c>
      <c r="C125" s="472">
        <f>IF(D93="","-",+C124+1)</f>
        <v>2041</v>
      </c>
      <c r="D125" s="346">
        <f>IF(F124+SUM(E$99:E124)=D$92,F124,D$92-SUM(E$99:E124))</f>
        <v>692770</v>
      </c>
      <c r="E125" s="484">
        <f t="shared" si="20"/>
        <v>40286</v>
      </c>
      <c r="F125" s="485">
        <f t="shared" si="21"/>
        <v>652484</v>
      </c>
      <c r="G125" s="485">
        <f t="shared" si="22"/>
        <v>672627</v>
      </c>
      <c r="H125" s="488">
        <f t="shared" si="23"/>
        <v>112802.75483359437</v>
      </c>
      <c r="I125" s="542">
        <f t="shared" si="24"/>
        <v>112802.75483359437</v>
      </c>
      <c r="J125" s="478">
        <f t="shared" si="19"/>
        <v>0</v>
      </c>
      <c r="K125" s="478"/>
      <c r="L125" s="487"/>
      <c r="M125" s="478">
        <f t="shared" si="15"/>
        <v>0</v>
      </c>
      <c r="N125" s="487"/>
      <c r="O125" s="478">
        <f t="shared" si="16"/>
        <v>0</v>
      </c>
      <c r="P125" s="478">
        <f t="shared" si="17"/>
        <v>0</v>
      </c>
    </row>
    <row r="126" spans="2:16">
      <c r="B126" s="160" t="str">
        <f t="shared" si="18"/>
        <v/>
      </c>
      <c r="C126" s="472">
        <f>IF(D93="","-",+C125+1)</f>
        <v>2042</v>
      </c>
      <c r="D126" s="346">
        <f>IF(F125+SUM(E$99:E125)=D$92,F125,D$92-SUM(E$99:E125))</f>
        <v>652484</v>
      </c>
      <c r="E126" s="484">
        <f t="shared" si="20"/>
        <v>40286</v>
      </c>
      <c r="F126" s="485">
        <f t="shared" si="21"/>
        <v>612198</v>
      </c>
      <c r="G126" s="485">
        <f t="shared" si="22"/>
        <v>632341</v>
      </c>
      <c r="H126" s="488">
        <f t="shared" si="23"/>
        <v>108459.47098500343</v>
      </c>
      <c r="I126" s="542">
        <f t="shared" si="24"/>
        <v>108459.47098500343</v>
      </c>
      <c r="J126" s="478">
        <f t="shared" si="19"/>
        <v>0</v>
      </c>
      <c r="K126" s="478"/>
      <c r="L126" s="487"/>
      <c r="M126" s="478">
        <f t="shared" si="15"/>
        <v>0</v>
      </c>
      <c r="N126" s="487"/>
      <c r="O126" s="478">
        <f t="shared" si="16"/>
        <v>0</v>
      </c>
      <c r="P126" s="478">
        <f t="shared" si="17"/>
        <v>0</v>
      </c>
    </row>
    <row r="127" spans="2:16">
      <c r="B127" s="160" t="str">
        <f t="shared" si="18"/>
        <v/>
      </c>
      <c r="C127" s="472">
        <f>IF(D93="","-",+C126+1)</f>
        <v>2043</v>
      </c>
      <c r="D127" s="346">
        <f>IF(F126+SUM(E$99:E126)=D$92,F126,D$92-SUM(E$99:E126))</f>
        <v>612198</v>
      </c>
      <c r="E127" s="484">
        <f t="shared" si="20"/>
        <v>40286</v>
      </c>
      <c r="F127" s="485">
        <f t="shared" si="21"/>
        <v>571912</v>
      </c>
      <c r="G127" s="485">
        <f t="shared" si="22"/>
        <v>592055</v>
      </c>
      <c r="H127" s="488">
        <f t="shared" si="23"/>
        <v>104116.18713641248</v>
      </c>
      <c r="I127" s="542">
        <f t="shared" si="24"/>
        <v>104116.18713641248</v>
      </c>
      <c r="J127" s="478">
        <f t="shared" si="19"/>
        <v>0</v>
      </c>
      <c r="K127" s="478"/>
      <c r="L127" s="487"/>
      <c r="M127" s="478">
        <f t="shared" si="15"/>
        <v>0</v>
      </c>
      <c r="N127" s="487"/>
      <c r="O127" s="478">
        <f t="shared" si="16"/>
        <v>0</v>
      </c>
      <c r="P127" s="478">
        <f t="shared" si="17"/>
        <v>0</v>
      </c>
    </row>
    <row r="128" spans="2:16">
      <c r="B128" s="160" t="str">
        <f t="shared" si="18"/>
        <v/>
      </c>
      <c r="C128" s="472">
        <f>IF(D93="","-",+C127+1)</f>
        <v>2044</v>
      </c>
      <c r="D128" s="346">
        <f>IF(F127+SUM(E$99:E127)=D$92,F127,D$92-SUM(E$99:E127))</f>
        <v>571912</v>
      </c>
      <c r="E128" s="484">
        <f t="shared" si="20"/>
        <v>40286</v>
      </c>
      <c r="F128" s="485">
        <f t="shared" si="21"/>
        <v>531626</v>
      </c>
      <c r="G128" s="485">
        <f t="shared" si="22"/>
        <v>551769</v>
      </c>
      <c r="H128" s="488">
        <f t="shared" si="23"/>
        <v>99772.903287821537</v>
      </c>
      <c r="I128" s="542">
        <f t="shared" si="24"/>
        <v>99772.903287821537</v>
      </c>
      <c r="J128" s="478">
        <f t="shared" si="19"/>
        <v>0</v>
      </c>
      <c r="K128" s="478"/>
      <c r="L128" s="487"/>
      <c r="M128" s="478">
        <f t="shared" si="15"/>
        <v>0</v>
      </c>
      <c r="N128" s="487"/>
      <c r="O128" s="478">
        <f t="shared" si="16"/>
        <v>0</v>
      </c>
      <c r="P128" s="478">
        <f t="shared" si="17"/>
        <v>0</v>
      </c>
    </row>
    <row r="129" spans="2:16">
      <c r="B129" s="160" t="str">
        <f t="shared" si="18"/>
        <v/>
      </c>
      <c r="C129" s="472">
        <f>IF(D93="","-",+C128+1)</f>
        <v>2045</v>
      </c>
      <c r="D129" s="346">
        <f>IF(F128+SUM(E$99:E128)=D$92,F128,D$92-SUM(E$99:E128))</f>
        <v>531626</v>
      </c>
      <c r="E129" s="484">
        <f t="shared" si="20"/>
        <v>40286</v>
      </c>
      <c r="F129" s="485">
        <f t="shared" si="21"/>
        <v>491340</v>
      </c>
      <c r="G129" s="485">
        <f t="shared" si="22"/>
        <v>511483</v>
      </c>
      <c r="H129" s="488">
        <f t="shared" si="23"/>
        <v>95429.619439230592</v>
      </c>
      <c r="I129" s="542">
        <f t="shared" si="24"/>
        <v>95429.619439230592</v>
      </c>
      <c r="J129" s="478">
        <f t="shared" si="19"/>
        <v>0</v>
      </c>
      <c r="K129" s="478"/>
      <c r="L129" s="487"/>
      <c r="M129" s="478">
        <f t="shared" si="15"/>
        <v>0</v>
      </c>
      <c r="N129" s="487"/>
      <c r="O129" s="478">
        <f t="shared" si="16"/>
        <v>0</v>
      </c>
      <c r="P129" s="478">
        <f t="shared" si="17"/>
        <v>0</v>
      </c>
    </row>
    <row r="130" spans="2:16">
      <c r="B130" s="160" t="str">
        <f t="shared" si="18"/>
        <v/>
      </c>
      <c r="C130" s="472">
        <f>IF(D93="","-",+C129+1)</f>
        <v>2046</v>
      </c>
      <c r="D130" s="346">
        <f>IF(F129+SUM(E$99:E129)=D$92,F129,D$92-SUM(E$99:E129))</f>
        <v>491340</v>
      </c>
      <c r="E130" s="484">
        <f t="shared" si="20"/>
        <v>40286</v>
      </c>
      <c r="F130" s="485">
        <f t="shared" si="21"/>
        <v>451054</v>
      </c>
      <c r="G130" s="485">
        <f t="shared" si="22"/>
        <v>471197</v>
      </c>
      <c r="H130" s="488">
        <f t="shared" si="23"/>
        <v>91086.335590639646</v>
      </c>
      <c r="I130" s="542">
        <f t="shared" si="24"/>
        <v>91086.335590639646</v>
      </c>
      <c r="J130" s="478">
        <f t="shared" si="19"/>
        <v>0</v>
      </c>
      <c r="K130" s="478"/>
      <c r="L130" s="487"/>
      <c r="M130" s="478">
        <f t="shared" si="15"/>
        <v>0</v>
      </c>
      <c r="N130" s="487"/>
      <c r="O130" s="478">
        <f t="shared" si="16"/>
        <v>0</v>
      </c>
      <c r="P130" s="478">
        <f t="shared" si="17"/>
        <v>0</v>
      </c>
    </row>
    <row r="131" spans="2:16">
      <c r="B131" s="160" t="str">
        <f t="shared" si="18"/>
        <v/>
      </c>
      <c r="C131" s="472">
        <f>IF(D93="","-",+C130+1)</f>
        <v>2047</v>
      </c>
      <c r="D131" s="346">
        <f>IF(F130+SUM(E$99:E130)=D$92,F130,D$92-SUM(E$99:E130))</f>
        <v>451054</v>
      </c>
      <c r="E131" s="484">
        <f t="shared" si="20"/>
        <v>40286</v>
      </c>
      <c r="F131" s="485">
        <f t="shared" si="21"/>
        <v>410768</v>
      </c>
      <c r="G131" s="485">
        <f t="shared" si="22"/>
        <v>430911</v>
      </c>
      <c r="H131" s="488">
        <f t="shared" si="23"/>
        <v>86743.051742048687</v>
      </c>
      <c r="I131" s="542">
        <f t="shared" si="24"/>
        <v>86743.051742048687</v>
      </c>
      <c r="J131" s="478">
        <f t="shared" si="19"/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8"/>
        <v/>
      </c>
      <c r="C132" s="472">
        <f>IF(D93="","-",+C131+1)</f>
        <v>2048</v>
      </c>
      <c r="D132" s="346">
        <f>IF(F131+SUM(E$99:E131)=D$92,F131,D$92-SUM(E$99:E131))</f>
        <v>410768</v>
      </c>
      <c r="E132" s="484">
        <f t="shared" si="20"/>
        <v>40286</v>
      </c>
      <c r="F132" s="485">
        <f t="shared" si="21"/>
        <v>370482</v>
      </c>
      <c r="G132" s="485">
        <f t="shared" si="22"/>
        <v>390625</v>
      </c>
      <c r="H132" s="488">
        <f t="shared" si="23"/>
        <v>82399.767893457742</v>
      </c>
      <c r="I132" s="542">
        <f t="shared" si="24"/>
        <v>82399.767893457742</v>
      </c>
      <c r="J132" s="478">
        <f t="shared" si="19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8"/>
        <v/>
      </c>
      <c r="C133" s="472">
        <f>IF(D93="","-",+C132+1)</f>
        <v>2049</v>
      </c>
      <c r="D133" s="346">
        <f>IF(F132+SUM(E$99:E132)=D$92,F132,D$92-SUM(E$99:E132))</f>
        <v>370482</v>
      </c>
      <c r="E133" s="484">
        <f t="shared" si="20"/>
        <v>40286</v>
      </c>
      <c r="F133" s="485">
        <f t="shared" si="21"/>
        <v>330196</v>
      </c>
      <c r="G133" s="485">
        <f t="shared" si="22"/>
        <v>350339</v>
      </c>
      <c r="H133" s="488">
        <f t="shared" si="23"/>
        <v>78056.484044866796</v>
      </c>
      <c r="I133" s="542">
        <f t="shared" si="24"/>
        <v>78056.484044866796</v>
      </c>
      <c r="J133" s="478">
        <f t="shared" si="19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8"/>
        <v/>
      </c>
      <c r="C134" s="472">
        <f>IF(D93="","-",+C133+1)</f>
        <v>2050</v>
      </c>
      <c r="D134" s="346">
        <f>IF(F133+SUM(E$99:E133)=D$92,F133,D$92-SUM(E$99:E133))</f>
        <v>330196</v>
      </c>
      <c r="E134" s="484">
        <f t="shared" si="20"/>
        <v>40286</v>
      </c>
      <c r="F134" s="485">
        <f t="shared" si="21"/>
        <v>289910</v>
      </c>
      <c r="G134" s="485">
        <f t="shared" si="22"/>
        <v>310053</v>
      </c>
      <c r="H134" s="488">
        <f t="shared" si="23"/>
        <v>73713.200196275851</v>
      </c>
      <c r="I134" s="542">
        <f t="shared" si="24"/>
        <v>73713.200196275851</v>
      </c>
      <c r="J134" s="478">
        <f t="shared" si="19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8"/>
        <v/>
      </c>
      <c r="C135" s="472">
        <f>IF(D93="","-",+C134+1)</f>
        <v>2051</v>
      </c>
      <c r="D135" s="346">
        <f>IF(F134+SUM(E$99:E134)=D$92,F134,D$92-SUM(E$99:E134))</f>
        <v>289910</v>
      </c>
      <c r="E135" s="484">
        <f t="shared" si="20"/>
        <v>40286</v>
      </c>
      <c r="F135" s="485">
        <f t="shared" si="21"/>
        <v>249624</v>
      </c>
      <c r="G135" s="485">
        <f t="shared" si="22"/>
        <v>269767</v>
      </c>
      <c r="H135" s="488">
        <f t="shared" si="23"/>
        <v>69369.916347684906</v>
      </c>
      <c r="I135" s="542">
        <f t="shared" si="24"/>
        <v>69369.916347684906</v>
      </c>
      <c r="J135" s="478">
        <f t="shared" si="19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8"/>
        <v/>
      </c>
      <c r="C136" s="472">
        <f>IF(D93="","-",+C135+1)</f>
        <v>2052</v>
      </c>
      <c r="D136" s="346">
        <f>IF(F135+SUM(E$99:E135)=D$92,F135,D$92-SUM(E$99:E135))</f>
        <v>249624</v>
      </c>
      <c r="E136" s="484">
        <f t="shared" si="20"/>
        <v>40286</v>
      </c>
      <c r="F136" s="485">
        <f t="shared" si="21"/>
        <v>209338</v>
      </c>
      <c r="G136" s="485">
        <f t="shared" si="22"/>
        <v>229481</v>
      </c>
      <c r="H136" s="488">
        <f t="shared" si="23"/>
        <v>65026.632499093954</v>
      </c>
      <c r="I136" s="542">
        <f t="shared" si="24"/>
        <v>65026.632499093954</v>
      </c>
      <c r="J136" s="478">
        <f t="shared" si="19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8"/>
        <v/>
      </c>
      <c r="C137" s="472">
        <f>IF(D93="","-",+C136+1)</f>
        <v>2053</v>
      </c>
      <c r="D137" s="346">
        <f>IF(F136+SUM(E$99:E136)=D$92,F136,D$92-SUM(E$99:E136))</f>
        <v>209338</v>
      </c>
      <c r="E137" s="484">
        <f t="shared" si="20"/>
        <v>40286</v>
      </c>
      <c r="F137" s="485">
        <f t="shared" si="21"/>
        <v>169052</v>
      </c>
      <c r="G137" s="485">
        <f t="shared" si="22"/>
        <v>189195</v>
      </c>
      <c r="H137" s="488">
        <f t="shared" si="23"/>
        <v>60683.348650503009</v>
      </c>
      <c r="I137" s="542">
        <f t="shared" si="24"/>
        <v>60683.348650503009</v>
      </c>
      <c r="J137" s="478">
        <f t="shared" si="19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8"/>
        <v/>
      </c>
      <c r="C138" s="472">
        <f>IF(D93="","-",+C137+1)</f>
        <v>2054</v>
      </c>
      <c r="D138" s="346">
        <f>IF(F137+SUM(E$99:E137)=D$92,F137,D$92-SUM(E$99:E137))</f>
        <v>169052</v>
      </c>
      <c r="E138" s="484">
        <f t="shared" si="20"/>
        <v>40286</v>
      </c>
      <c r="F138" s="485">
        <f t="shared" si="21"/>
        <v>128766</v>
      </c>
      <c r="G138" s="485">
        <f t="shared" si="22"/>
        <v>148909</v>
      </c>
      <c r="H138" s="488">
        <f t="shared" si="23"/>
        <v>56340.064801912064</v>
      </c>
      <c r="I138" s="542">
        <f t="shared" si="24"/>
        <v>56340.064801912064</v>
      </c>
      <c r="J138" s="478">
        <f t="shared" si="19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8"/>
        <v/>
      </c>
      <c r="C139" s="472">
        <f>IF(D93="","-",+C138+1)</f>
        <v>2055</v>
      </c>
      <c r="D139" s="346">
        <f>IF(F138+SUM(E$99:E138)=D$92,F138,D$92-SUM(E$99:E138))</f>
        <v>128766</v>
      </c>
      <c r="E139" s="484">
        <f t="shared" si="20"/>
        <v>40286</v>
      </c>
      <c r="F139" s="485">
        <f t="shared" si="21"/>
        <v>88480</v>
      </c>
      <c r="G139" s="485">
        <f t="shared" si="22"/>
        <v>108623</v>
      </c>
      <c r="H139" s="488">
        <f t="shared" si="23"/>
        <v>51996.780953321111</v>
      </c>
      <c r="I139" s="542">
        <f t="shared" si="24"/>
        <v>51996.780953321111</v>
      </c>
      <c r="J139" s="478">
        <f t="shared" si="19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8"/>
        <v/>
      </c>
      <c r="C140" s="472">
        <f>IF(D93="","-",+C139+1)</f>
        <v>2056</v>
      </c>
      <c r="D140" s="346">
        <f>IF(F139+SUM(E$99:E139)=D$92,F139,D$92-SUM(E$99:E139))</f>
        <v>88480</v>
      </c>
      <c r="E140" s="484">
        <f t="shared" si="20"/>
        <v>40286</v>
      </c>
      <c r="F140" s="485">
        <f t="shared" si="21"/>
        <v>48194</v>
      </c>
      <c r="G140" s="485">
        <f t="shared" si="22"/>
        <v>68337</v>
      </c>
      <c r="H140" s="488">
        <f t="shared" si="23"/>
        <v>47653.497104730166</v>
      </c>
      <c r="I140" s="542">
        <f t="shared" si="24"/>
        <v>47653.497104730166</v>
      </c>
      <c r="J140" s="478">
        <f t="shared" si="19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8"/>
        <v/>
      </c>
      <c r="C141" s="472">
        <f>IF(D93="","-",+C140+1)</f>
        <v>2057</v>
      </c>
      <c r="D141" s="346">
        <f>IF(F140+SUM(E$99:E140)=D$92,F140,D$92-SUM(E$99:E140))</f>
        <v>48194</v>
      </c>
      <c r="E141" s="484">
        <f t="shared" si="20"/>
        <v>40286</v>
      </c>
      <c r="F141" s="485">
        <f t="shared" si="21"/>
        <v>7908</v>
      </c>
      <c r="G141" s="485">
        <f t="shared" si="22"/>
        <v>28051</v>
      </c>
      <c r="H141" s="488">
        <f t="shared" si="23"/>
        <v>43310.213256139221</v>
      </c>
      <c r="I141" s="542">
        <f t="shared" si="24"/>
        <v>43310.213256139221</v>
      </c>
      <c r="J141" s="478">
        <f t="shared" si="19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8"/>
        <v/>
      </c>
      <c r="C142" s="472">
        <f>IF(D93="","-",+C141+1)</f>
        <v>2058</v>
      </c>
      <c r="D142" s="346">
        <f>IF(F141+SUM(E$99:E141)=D$92,F141,D$92-SUM(E$99:E141))</f>
        <v>7908</v>
      </c>
      <c r="E142" s="484">
        <f t="shared" si="20"/>
        <v>7908</v>
      </c>
      <c r="F142" s="485">
        <f t="shared" si="21"/>
        <v>0</v>
      </c>
      <c r="G142" s="485">
        <f t="shared" si="22"/>
        <v>3954</v>
      </c>
      <c r="H142" s="488">
        <f t="shared" si="23"/>
        <v>8334.2856659218742</v>
      </c>
      <c r="I142" s="542">
        <f t="shared" si="24"/>
        <v>8334.2856659218742</v>
      </c>
      <c r="J142" s="478">
        <f t="shared" si="19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8"/>
        <v/>
      </c>
      <c r="C143" s="472">
        <f>IF(D93="","-",+C142+1)</f>
        <v>2059</v>
      </c>
      <c r="D143" s="346">
        <f>IF(F142+SUM(E$99:E142)=D$92,F142,D$92-SUM(E$99:E142))</f>
        <v>0</v>
      </c>
      <c r="E143" s="484">
        <f t="shared" si="20"/>
        <v>0</v>
      </c>
      <c r="F143" s="485">
        <f t="shared" si="21"/>
        <v>0</v>
      </c>
      <c r="G143" s="485">
        <f t="shared" si="22"/>
        <v>0</v>
      </c>
      <c r="H143" s="488">
        <f t="shared" si="23"/>
        <v>0</v>
      </c>
      <c r="I143" s="542">
        <f t="shared" si="24"/>
        <v>0</v>
      </c>
      <c r="J143" s="478">
        <f t="shared" si="19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8"/>
        <v/>
      </c>
      <c r="C144" s="472">
        <f>IF(D93="","-",+C143+1)</f>
        <v>2060</v>
      </c>
      <c r="D144" s="346">
        <f>IF(F143+SUM(E$99:E143)=D$92,F143,D$92-SUM(E$99:E143))</f>
        <v>0</v>
      </c>
      <c r="E144" s="484">
        <f t="shared" si="20"/>
        <v>0</v>
      </c>
      <c r="F144" s="485">
        <f t="shared" si="21"/>
        <v>0</v>
      </c>
      <c r="G144" s="485">
        <f t="shared" si="22"/>
        <v>0</v>
      </c>
      <c r="H144" s="488">
        <f t="shared" si="23"/>
        <v>0</v>
      </c>
      <c r="I144" s="542">
        <f t="shared" si="24"/>
        <v>0</v>
      </c>
      <c r="J144" s="478">
        <f t="shared" si="19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8"/>
        <v/>
      </c>
      <c r="C145" s="472">
        <f>IF(D93="","-",+C144+1)</f>
        <v>2061</v>
      </c>
      <c r="D145" s="346">
        <f>IF(F144+SUM(E$99:E144)=D$92,F144,D$92-SUM(E$99:E144))</f>
        <v>0</v>
      </c>
      <c r="E145" s="484">
        <f t="shared" si="20"/>
        <v>0</v>
      </c>
      <c r="F145" s="485">
        <f t="shared" si="21"/>
        <v>0</v>
      </c>
      <c r="G145" s="485">
        <f t="shared" si="22"/>
        <v>0</v>
      </c>
      <c r="H145" s="488">
        <f t="shared" si="23"/>
        <v>0</v>
      </c>
      <c r="I145" s="542">
        <f t="shared" si="24"/>
        <v>0</v>
      </c>
      <c r="J145" s="478">
        <f t="shared" si="19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8"/>
        <v/>
      </c>
      <c r="C146" s="472">
        <f>IF(D93="","-",+C145+1)</f>
        <v>2062</v>
      </c>
      <c r="D146" s="346">
        <f>IF(F145+SUM(E$99:E145)=D$92,F145,D$92-SUM(E$99:E145))</f>
        <v>0</v>
      </c>
      <c r="E146" s="484">
        <f t="shared" si="20"/>
        <v>0</v>
      </c>
      <c r="F146" s="485">
        <f t="shared" si="21"/>
        <v>0</v>
      </c>
      <c r="G146" s="485">
        <f t="shared" si="22"/>
        <v>0</v>
      </c>
      <c r="H146" s="488">
        <f t="shared" si="23"/>
        <v>0</v>
      </c>
      <c r="I146" s="542">
        <f t="shared" si="24"/>
        <v>0</v>
      </c>
      <c r="J146" s="478">
        <f t="shared" si="19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8"/>
        <v/>
      </c>
      <c r="C147" s="472">
        <f>IF(D93="","-",+C146+1)</f>
        <v>2063</v>
      </c>
      <c r="D147" s="346">
        <f>IF(F146+SUM(E$99:E146)=D$92,F146,D$92-SUM(E$99:E146))</f>
        <v>0</v>
      </c>
      <c r="E147" s="484">
        <f t="shared" si="20"/>
        <v>0</v>
      </c>
      <c r="F147" s="485">
        <f t="shared" si="21"/>
        <v>0</v>
      </c>
      <c r="G147" s="485">
        <f t="shared" si="22"/>
        <v>0</v>
      </c>
      <c r="H147" s="488">
        <f t="shared" si="23"/>
        <v>0</v>
      </c>
      <c r="I147" s="542">
        <f t="shared" si="24"/>
        <v>0</v>
      </c>
      <c r="J147" s="478">
        <f t="shared" si="19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8"/>
        <v/>
      </c>
      <c r="C148" s="472">
        <f>IF(D93="","-",+C147+1)</f>
        <v>2064</v>
      </c>
      <c r="D148" s="346">
        <f>IF(F147+SUM(E$99:E147)=D$92,F147,D$92-SUM(E$99:E147))</f>
        <v>0</v>
      </c>
      <c r="E148" s="484">
        <f t="shared" si="20"/>
        <v>0</v>
      </c>
      <c r="F148" s="485">
        <f t="shared" si="21"/>
        <v>0</v>
      </c>
      <c r="G148" s="485">
        <f t="shared" si="22"/>
        <v>0</v>
      </c>
      <c r="H148" s="488">
        <f t="shared" si="23"/>
        <v>0</v>
      </c>
      <c r="I148" s="542">
        <f t="shared" si="24"/>
        <v>0</v>
      </c>
      <c r="J148" s="478">
        <f t="shared" si="19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8"/>
        <v/>
      </c>
      <c r="C149" s="472">
        <f>IF(D93="","-",+C148+1)</f>
        <v>2065</v>
      </c>
      <c r="D149" s="346">
        <f>IF(F148+SUM(E$99:E148)=D$92,F148,D$92-SUM(E$99:E148))</f>
        <v>0</v>
      </c>
      <c r="E149" s="484">
        <f t="shared" si="20"/>
        <v>0</v>
      </c>
      <c r="F149" s="485">
        <f t="shared" si="21"/>
        <v>0</v>
      </c>
      <c r="G149" s="485">
        <f t="shared" si="22"/>
        <v>0</v>
      </c>
      <c r="H149" s="488">
        <f t="shared" si="23"/>
        <v>0</v>
      </c>
      <c r="I149" s="542">
        <f t="shared" si="24"/>
        <v>0</v>
      </c>
      <c r="J149" s="478">
        <f t="shared" si="19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8"/>
        <v/>
      </c>
      <c r="C150" s="472">
        <f>IF(D93="","-",+C149+1)</f>
        <v>2066</v>
      </c>
      <c r="D150" s="346">
        <f>IF(F149+SUM(E$99:E149)=D$92,F149,D$92-SUM(E$99:E149))</f>
        <v>0</v>
      </c>
      <c r="E150" s="484">
        <f t="shared" si="20"/>
        <v>0</v>
      </c>
      <c r="F150" s="485">
        <f t="shared" si="21"/>
        <v>0</v>
      </c>
      <c r="G150" s="485">
        <f t="shared" si="22"/>
        <v>0</v>
      </c>
      <c r="H150" s="488">
        <f t="shared" si="23"/>
        <v>0</v>
      </c>
      <c r="I150" s="542">
        <f t="shared" si="24"/>
        <v>0</v>
      </c>
      <c r="J150" s="478">
        <f t="shared" si="19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8"/>
        <v/>
      </c>
      <c r="C151" s="472">
        <f>IF(D93="","-",+C150+1)</f>
        <v>2067</v>
      </c>
      <c r="D151" s="346">
        <f>IF(F150+SUM(E$99:E150)=D$92,F150,D$92-SUM(E$99:E150))</f>
        <v>0</v>
      </c>
      <c r="E151" s="484">
        <f t="shared" si="20"/>
        <v>0</v>
      </c>
      <c r="F151" s="485">
        <f t="shared" si="21"/>
        <v>0</v>
      </c>
      <c r="G151" s="485">
        <f t="shared" si="22"/>
        <v>0</v>
      </c>
      <c r="H151" s="488">
        <f t="shared" si="23"/>
        <v>0</v>
      </c>
      <c r="I151" s="542">
        <f t="shared" si="24"/>
        <v>0</v>
      </c>
      <c r="J151" s="478">
        <f t="shared" si="19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8"/>
        <v/>
      </c>
      <c r="C152" s="472">
        <f>IF(D93="","-",+C151+1)</f>
        <v>2068</v>
      </c>
      <c r="D152" s="346">
        <f>IF(F151+SUM(E$99:E151)=D$92,F151,D$92-SUM(E$99:E151))</f>
        <v>0</v>
      </c>
      <c r="E152" s="484">
        <f t="shared" si="20"/>
        <v>0</v>
      </c>
      <c r="F152" s="485">
        <f t="shared" si="21"/>
        <v>0</v>
      </c>
      <c r="G152" s="485">
        <f t="shared" si="22"/>
        <v>0</v>
      </c>
      <c r="H152" s="488">
        <f t="shared" si="23"/>
        <v>0</v>
      </c>
      <c r="I152" s="542">
        <f t="shared" si="24"/>
        <v>0</v>
      </c>
      <c r="J152" s="478">
        <f t="shared" si="19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8"/>
        <v/>
      </c>
      <c r="C153" s="472">
        <f>IF(D93="","-",+C152+1)</f>
        <v>2069</v>
      </c>
      <c r="D153" s="346">
        <f>IF(F152+SUM(E$99:E152)=D$92,F152,D$92-SUM(E$99:E152))</f>
        <v>0</v>
      </c>
      <c r="E153" s="484">
        <f t="shared" si="20"/>
        <v>0</v>
      </c>
      <c r="F153" s="485">
        <f t="shared" si="21"/>
        <v>0</v>
      </c>
      <c r="G153" s="485">
        <f t="shared" si="22"/>
        <v>0</v>
      </c>
      <c r="H153" s="488">
        <f t="shared" si="23"/>
        <v>0</v>
      </c>
      <c r="I153" s="542">
        <f t="shared" si="24"/>
        <v>0</v>
      </c>
      <c r="J153" s="478">
        <f t="shared" si="19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8"/>
        <v/>
      </c>
      <c r="C154" s="489">
        <f>IF(D93="","-",+C153+1)</f>
        <v>2070</v>
      </c>
      <c r="D154" s="576">
        <f>IF(F153+SUM(E$99:E153)=D$92,F153,D$92-SUM(E$99:E153))</f>
        <v>0</v>
      </c>
      <c r="E154" s="491">
        <f t="shared" si="20"/>
        <v>0</v>
      </c>
      <c r="F154" s="490">
        <f t="shared" si="21"/>
        <v>0</v>
      </c>
      <c r="G154" s="490">
        <f t="shared" si="22"/>
        <v>0</v>
      </c>
      <c r="H154" s="492">
        <f t="shared" si="23"/>
        <v>0</v>
      </c>
      <c r="I154" s="545">
        <f t="shared" si="24"/>
        <v>0</v>
      </c>
      <c r="J154" s="495">
        <f t="shared" si="19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6" t="s">
        <v>77</v>
      </c>
      <c r="D155" s="347"/>
      <c r="E155" s="347">
        <f>SUM(E99:E154)</f>
        <v>1692023</v>
      </c>
      <c r="F155" s="347"/>
      <c r="G155" s="347"/>
      <c r="H155" s="347">
        <f>SUM(H99:H154)</f>
        <v>5731239.2733233441</v>
      </c>
      <c r="I155" s="347">
        <f>SUM(I99:I154)</f>
        <v>5731239.2733233441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1" priority="1" stopIfTrue="1" operator="equal">
      <formula>$I$10</formula>
    </cfRule>
  </conditionalFormatting>
  <conditionalFormatting sqref="C99:C154">
    <cfRule type="cellIs" dxfId="3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9" tint="-0.249977111117893"/>
  </sheetPr>
  <dimension ref="A1:P162"/>
  <sheetViews>
    <sheetView view="pageBreakPreview" topLeftCell="A10" zoomScale="80" zoomScaleNormal="100" zoomScaleSheetLayoutView="80" workbookViewId="0">
      <selection activeCell="E17" sqref="E1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18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191574.82976190478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191574.82976190478</v>
      </c>
      <c r="O6" s="232"/>
      <c r="P6" s="232"/>
    </row>
    <row r="7" spans="1:16" ht="13.5" thickBot="1">
      <c r="C7" s="431" t="s">
        <v>46</v>
      </c>
      <c r="D7" s="599" t="s">
        <v>266</v>
      </c>
      <c r="E7" s="600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610" t="s">
        <v>269</v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273</v>
      </c>
      <c r="E9" s="577" t="s">
        <v>343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1725646.85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2014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41086.829761904766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2014</v>
      </c>
      <c r="D17" s="578">
        <v>1725646.85</v>
      </c>
      <c r="E17" s="601">
        <v>22123.677564102563</v>
      </c>
      <c r="F17" s="578">
        <v>1703523.1724358976</v>
      </c>
      <c r="G17" s="601">
        <v>256628.57821434946</v>
      </c>
      <c r="H17" s="602">
        <v>256628.57821434946</v>
      </c>
      <c r="I17" s="475">
        <v>0</v>
      </c>
      <c r="J17" s="475"/>
      <c r="K17" s="476">
        <f t="shared" ref="K17:K22" si="0">G17</f>
        <v>256628.57821434946</v>
      </c>
      <c r="L17" s="603">
        <f t="shared" ref="L17:L22" si="1">IF(K17&lt;&gt;0,+G17-K17,0)</f>
        <v>0</v>
      </c>
      <c r="M17" s="476">
        <f t="shared" ref="M17:M22" si="2">H17</f>
        <v>256628.57821434946</v>
      </c>
      <c r="N17" s="478">
        <f>IF(M17&lt;&gt;0,+H17-M17,0)</f>
        <v>0</v>
      </c>
      <c r="O17" s="475">
        <f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2015</v>
      </c>
      <c r="D18" s="578">
        <v>1703523.1724358976</v>
      </c>
      <c r="E18" s="579">
        <v>33185.516346153847</v>
      </c>
      <c r="F18" s="578">
        <v>1670337.6560897438</v>
      </c>
      <c r="G18" s="579">
        <v>263477.7363505594</v>
      </c>
      <c r="H18" s="602">
        <v>263477.7363505594</v>
      </c>
      <c r="I18" s="475">
        <v>0</v>
      </c>
      <c r="J18" s="475"/>
      <c r="K18" s="476">
        <f t="shared" si="0"/>
        <v>263477.7363505594</v>
      </c>
      <c r="L18" s="603">
        <f t="shared" si="1"/>
        <v>0</v>
      </c>
      <c r="M18" s="476">
        <f t="shared" si="2"/>
        <v>263477.7363505594</v>
      </c>
      <c r="N18" s="478">
        <f>IF(M18&lt;&gt;0,+H18-M18,0)</f>
        <v>0</v>
      </c>
      <c r="O18" s="475">
        <f>+N18-L18</f>
        <v>0</v>
      </c>
      <c r="P18" s="242"/>
    </row>
    <row r="19" spans="2:16">
      <c r="B19" s="160" t="str">
        <f>IF(D19=F18,"","IU")</f>
        <v/>
      </c>
      <c r="C19" s="472">
        <f>IF(D11="","-",+C18+1)</f>
        <v>2016</v>
      </c>
      <c r="D19" s="578">
        <v>1670337.6560897438</v>
      </c>
      <c r="E19" s="579">
        <v>33185.516346153847</v>
      </c>
      <c r="F19" s="578">
        <v>1637152.13974359</v>
      </c>
      <c r="G19" s="579">
        <v>247913.51634615386</v>
      </c>
      <c r="H19" s="602">
        <v>247913.51634615386</v>
      </c>
      <c r="I19" s="475">
        <f>H19-G19</f>
        <v>0</v>
      </c>
      <c r="J19" s="475"/>
      <c r="K19" s="476">
        <f t="shared" si="0"/>
        <v>247913.51634615386</v>
      </c>
      <c r="L19" s="603">
        <f t="shared" si="1"/>
        <v>0</v>
      </c>
      <c r="M19" s="476">
        <f t="shared" si="2"/>
        <v>247913.51634615386</v>
      </c>
      <c r="N19" s="478">
        <f>IF(M19&lt;&gt;0,+H19-M19,0)</f>
        <v>0</v>
      </c>
      <c r="O19" s="475">
        <f>+N19-L19</f>
        <v>0</v>
      </c>
      <c r="P19" s="242"/>
    </row>
    <row r="20" spans="2:16">
      <c r="B20" s="160" t="str">
        <f t="shared" ref="B20:B72" si="3">IF(D20=F19,"","IU")</f>
        <v>IU</v>
      </c>
      <c r="C20" s="472">
        <f>IF(D11="","-",+C19+1)</f>
        <v>2017</v>
      </c>
      <c r="D20" s="578">
        <v>1637152</v>
      </c>
      <c r="E20" s="579">
        <v>37514</v>
      </c>
      <c r="F20" s="578">
        <v>1599638</v>
      </c>
      <c r="G20" s="579">
        <v>241085</v>
      </c>
      <c r="H20" s="602">
        <v>241085</v>
      </c>
      <c r="I20" s="475">
        <f t="shared" ref="I20:I72" si="4">H20-G20</f>
        <v>0</v>
      </c>
      <c r="J20" s="475"/>
      <c r="K20" s="476">
        <f t="shared" si="0"/>
        <v>241085</v>
      </c>
      <c r="L20" s="603">
        <f t="shared" si="1"/>
        <v>0</v>
      </c>
      <c r="M20" s="476">
        <f t="shared" si="2"/>
        <v>241085</v>
      </c>
      <c r="N20" s="478">
        <f>IF(M20&lt;&gt;0,+H20-M20,0)</f>
        <v>0</v>
      </c>
      <c r="O20" s="475">
        <f>+N20-L20</f>
        <v>0</v>
      </c>
      <c r="P20" s="242"/>
    </row>
    <row r="21" spans="2:16">
      <c r="B21" s="160" t="str">
        <f t="shared" si="3"/>
        <v>IU</v>
      </c>
      <c r="C21" s="472">
        <f>IF(D11="","-",+C20+1)</f>
        <v>2018</v>
      </c>
      <c r="D21" s="578">
        <v>1599638.0777870682</v>
      </c>
      <c r="E21" s="579">
        <v>38347.707777777781</v>
      </c>
      <c r="F21" s="578">
        <v>1561290.3700092905</v>
      </c>
      <c r="G21" s="579">
        <v>227622.42905835263</v>
      </c>
      <c r="H21" s="602">
        <v>227622.42905835263</v>
      </c>
      <c r="I21" s="475">
        <f t="shared" si="4"/>
        <v>0</v>
      </c>
      <c r="J21" s="475"/>
      <c r="K21" s="476">
        <f t="shared" si="0"/>
        <v>227622.42905835263</v>
      </c>
      <c r="L21" s="603">
        <f t="shared" si="1"/>
        <v>0</v>
      </c>
      <c r="M21" s="476">
        <f t="shared" si="2"/>
        <v>227622.42905835263</v>
      </c>
      <c r="N21" s="478">
        <f>IF(M21&lt;&gt;0,+H21-M21,0)</f>
        <v>0</v>
      </c>
      <c r="O21" s="475">
        <f>+N21-L21</f>
        <v>0</v>
      </c>
      <c r="P21" s="242"/>
    </row>
    <row r="22" spans="2:16">
      <c r="B22" s="160" t="str">
        <f t="shared" si="3"/>
        <v/>
      </c>
      <c r="C22" s="472">
        <f>IF(D11="","-",+C21+1)</f>
        <v>2019</v>
      </c>
      <c r="D22" s="578">
        <v>1561290.3700092905</v>
      </c>
      <c r="E22" s="579">
        <v>43141.171249999999</v>
      </c>
      <c r="F22" s="578">
        <v>1518149.1987592906</v>
      </c>
      <c r="G22" s="579">
        <v>215061.09551654221</v>
      </c>
      <c r="H22" s="602">
        <v>215061.09551654221</v>
      </c>
      <c r="I22" s="475">
        <f t="shared" si="4"/>
        <v>0</v>
      </c>
      <c r="J22" s="475"/>
      <c r="K22" s="476">
        <f t="shared" si="0"/>
        <v>215061.09551654221</v>
      </c>
      <c r="L22" s="603">
        <f t="shared" si="1"/>
        <v>0</v>
      </c>
      <c r="M22" s="476">
        <f t="shared" si="2"/>
        <v>215061.09551654221</v>
      </c>
      <c r="N22" s="478">
        <f t="shared" ref="N22:N72" si="5">IF(M22&lt;&gt;0,+H22-M22,0)</f>
        <v>0</v>
      </c>
      <c r="O22" s="478">
        <f t="shared" ref="O22:O72" si="6">+N22-L22</f>
        <v>0</v>
      </c>
      <c r="P22" s="242"/>
    </row>
    <row r="23" spans="2:16">
      <c r="B23" s="160" t="str">
        <f t="shared" si="3"/>
        <v>IU</v>
      </c>
      <c r="C23" s="472">
        <f>IF(D11="","-",+C22+1)</f>
        <v>2020</v>
      </c>
      <c r="D23" s="578">
        <v>1522942.7241880344</v>
      </c>
      <c r="E23" s="579">
        <v>41086.829761904766</v>
      </c>
      <c r="F23" s="578">
        <v>1481855.8944261298</v>
      </c>
      <c r="G23" s="579">
        <v>203353.13199328393</v>
      </c>
      <c r="H23" s="602">
        <v>203353.13199328393</v>
      </c>
      <c r="I23" s="475">
        <f t="shared" si="4"/>
        <v>0</v>
      </c>
      <c r="J23" s="475"/>
      <c r="K23" s="476">
        <f t="shared" ref="K23" si="7">G23</f>
        <v>203353.13199328393</v>
      </c>
      <c r="L23" s="603">
        <f t="shared" ref="L23" si="8">IF(K23&lt;&gt;0,+G23-K23,0)</f>
        <v>0</v>
      </c>
      <c r="M23" s="476">
        <f t="shared" ref="M23" si="9">H23</f>
        <v>203353.13199328393</v>
      </c>
      <c r="N23" s="478">
        <f t="shared" si="5"/>
        <v>0</v>
      </c>
      <c r="O23" s="478">
        <f t="shared" si="6"/>
        <v>0</v>
      </c>
      <c r="P23" s="242"/>
    </row>
    <row r="24" spans="2:16">
      <c r="B24" s="160" t="str">
        <f t="shared" si="3"/>
        <v>IU</v>
      </c>
      <c r="C24" s="472">
        <f>IF(D11="","-",+C23+1)</f>
        <v>2021</v>
      </c>
      <c r="D24" s="578">
        <v>1477062.4309539073</v>
      </c>
      <c r="E24" s="579">
        <v>40131.322093023256</v>
      </c>
      <c r="F24" s="578">
        <v>1436931.1088608841</v>
      </c>
      <c r="G24" s="579">
        <v>195063.32209302325</v>
      </c>
      <c r="H24" s="602">
        <v>195063.32209302325</v>
      </c>
      <c r="I24" s="475">
        <f t="shared" si="4"/>
        <v>0</v>
      </c>
      <c r="J24" s="475"/>
      <c r="K24" s="476">
        <f t="shared" ref="K24" si="10">G24</f>
        <v>195063.32209302325</v>
      </c>
      <c r="L24" s="603">
        <f t="shared" ref="L24" si="11">IF(K24&lt;&gt;0,+G24-K24,0)</f>
        <v>0</v>
      </c>
      <c r="M24" s="476">
        <f t="shared" ref="M24" si="12">H24</f>
        <v>195063.32209302325</v>
      </c>
      <c r="N24" s="478">
        <f t="shared" si="5"/>
        <v>0</v>
      </c>
      <c r="O24" s="478">
        <f t="shared" si="6"/>
        <v>0</v>
      </c>
      <c r="P24" s="242"/>
    </row>
    <row r="25" spans="2:16">
      <c r="B25" s="160" t="str">
        <f t="shared" si="3"/>
        <v/>
      </c>
      <c r="C25" s="472">
        <f>IF(D11="","-",+C24+1)</f>
        <v>2022</v>
      </c>
      <c r="D25" s="485">
        <f>IF(F24+SUM(E$17:E24)=D$10,F24,D$10-SUM(E$17:E24))</f>
        <v>1436931.1088608841</v>
      </c>
      <c r="E25" s="484">
        <f t="shared" ref="E25:E72" si="13">IF(+$I$14&lt;F24,$I$14,D25)</f>
        <v>41086.829761904766</v>
      </c>
      <c r="F25" s="485">
        <f t="shared" ref="F25:F72" si="14">+D25-E25</f>
        <v>1395844.2790989794</v>
      </c>
      <c r="G25" s="486">
        <f t="shared" ref="G25:G72" si="15">ROUND(I$12*F25,0)+E25</f>
        <v>191574.82976190478</v>
      </c>
      <c r="H25" s="455">
        <f t="shared" ref="H25:H72" si="16">ROUND(I$13*F25,0)+E25</f>
        <v>191574.82976190478</v>
      </c>
      <c r="I25" s="475">
        <f t="shared" si="4"/>
        <v>0</v>
      </c>
      <c r="J25" s="475"/>
      <c r="K25" s="487"/>
      <c r="L25" s="478">
        <f t="shared" ref="L25:L72" si="17">IF(K25&lt;&gt;0,+G25-K25,0)</f>
        <v>0</v>
      </c>
      <c r="M25" s="487"/>
      <c r="N25" s="478">
        <f t="shared" si="5"/>
        <v>0</v>
      </c>
      <c r="O25" s="478">
        <f t="shared" si="6"/>
        <v>0</v>
      </c>
      <c r="P25" s="242"/>
    </row>
    <row r="26" spans="2:16">
      <c r="B26" s="160" t="str">
        <f t="shared" si="3"/>
        <v/>
      </c>
      <c r="C26" s="472">
        <f>IF(D11="","-",+C25+1)</f>
        <v>2023</v>
      </c>
      <c r="D26" s="485">
        <f>IF(F25+SUM(E$17:E25)=D$10,F25,D$10-SUM(E$17:E25))</f>
        <v>1395844.2790989794</v>
      </c>
      <c r="E26" s="484">
        <f t="shared" si="13"/>
        <v>41086.829761904766</v>
      </c>
      <c r="F26" s="485">
        <f t="shared" si="14"/>
        <v>1354757.4493370748</v>
      </c>
      <c r="G26" s="486">
        <f t="shared" si="15"/>
        <v>187144.82976190478</v>
      </c>
      <c r="H26" s="455">
        <f t="shared" si="16"/>
        <v>187144.82976190478</v>
      </c>
      <c r="I26" s="475">
        <f t="shared" si="4"/>
        <v>0</v>
      </c>
      <c r="J26" s="475"/>
      <c r="K26" s="487"/>
      <c r="L26" s="478">
        <f t="shared" si="17"/>
        <v>0</v>
      </c>
      <c r="M26" s="487"/>
      <c r="N26" s="478">
        <f t="shared" si="5"/>
        <v>0</v>
      </c>
      <c r="O26" s="478">
        <f t="shared" si="6"/>
        <v>0</v>
      </c>
      <c r="P26" s="242"/>
    </row>
    <row r="27" spans="2:16">
      <c r="B27" s="160" t="str">
        <f t="shared" si="3"/>
        <v/>
      </c>
      <c r="C27" s="472">
        <f>IF(D11="","-",+C26+1)</f>
        <v>2024</v>
      </c>
      <c r="D27" s="485">
        <f>IF(F26+SUM(E$17:E26)=D$10,F26,D$10-SUM(E$17:E26))</f>
        <v>1354757.4493370748</v>
      </c>
      <c r="E27" s="484">
        <f t="shared" si="13"/>
        <v>41086.829761904766</v>
      </c>
      <c r="F27" s="485">
        <f t="shared" si="14"/>
        <v>1313670.6195751701</v>
      </c>
      <c r="G27" s="486">
        <f t="shared" si="15"/>
        <v>182714.82976190478</v>
      </c>
      <c r="H27" s="455">
        <f t="shared" si="16"/>
        <v>182714.82976190478</v>
      </c>
      <c r="I27" s="475">
        <f t="shared" si="4"/>
        <v>0</v>
      </c>
      <c r="J27" s="475"/>
      <c r="K27" s="487"/>
      <c r="L27" s="478">
        <f t="shared" si="17"/>
        <v>0</v>
      </c>
      <c r="M27" s="487"/>
      <c r="N27" s="478">
        <f t="shared" si="5"/>
        <v>0</v>
      </c>
      <c r="O27" s="478">
        <f t="shared" si="6"/>
        <v>0</v>
      </c>
      <c r="P27" s="242"/>
    </row>
    <row r="28" spans="2:16">
      <c r="B28" s="160" t="str">
        <f t="shared" si="3"/>
        <v/>
      </c>
      <c r="C28" s="472">
        <f>IF(D11="","-",+C27+1)</f>
        <v>2025</v>
      </c>
      <c r="D28" s="485">
        <f>IF(F27+SUM(E$17:E27)=D$10,F27,D$10-SUM(E$17:E27))</f>
        <v>1313670.6195751701</v>
      </c>
      <c r="E28" s="484">
        <f t="shared" si="13"/>
        <v>41086.829761904766</v>
      </c>
      <c r="F28" s="485">
        <f t="shared" si="14"/>
        <v>1272583.7898132654</v>
      </c>
      <c r="G28" s="486">
        <f t="shared" si="15"/>
        <v>178285.82976190478</v>
      </c>
      <c r="H28" s="455">
        <f t="shared" si="16"/>
        <v>178285.82976190478</v>
      </c>
      <c r="I28" s="475">
        <f t="shared" si="4"/>
        <v>0</v>
      </c>
      <c r="J28" s="475"/>
      <c r="K28" s="487"/>
      <c r="L28" s="478">
        <f t="shared" si="17"/>
        <v>0</v>
      </c>
      <c r="M28" s="487"/>
      <c r="N28" s="478">
        <f t="shared" si="5"/>
        <v>0</v>
      </c>
      <c r="O28" s="478">
        <f t="shared" si="6"/>
        <v>0</v>
      </c>
      <c r="P28" s="242"/>
    </row>
    <row r="29" spans="2:16">
      <c r="B29" s="160" t="str">
        <f t="shared" si="3"/>
        <v/>
      </c>
      <c r="C29" s="472">
        <f>IF(D11="","-",+C28+1)</f>
        <v>2026</v>
      </c>
      <c r="D29" s="485">
        <f>IF(F28+SUM(E$17:E28)=D$10,F28,D$10-SUM(E$17:E28))</f>
        <v>1272583.7898132654</v>
      </c>
      <c r="E29" s="484">
        <f t="shared" si="13"/>
        <v>41086.829761904766</v>
      </c>
      <c r="F29" s="485">
        <f t="shared" si="14"/>
        <v>1231496.9600513608</v>
      </c>
      <c r="G29" s="486">
        <f t="shared" si="15"/>
        <v>173855.82976190478</v>
      </c>
      <c r="H29" s="455">
        <f t="shared" si="16"/>
        <v>173855.82976190478</v>
      </c>
      <c r="I29" s="475">
        <f t="shared" si="4"/>
        <v>0</v>
      </c>
      <c r="J29" s="475"/>
      <c r="K29" s="487"/>
      <c r="L29" s="478">
        <f t="shared" si="17"/>
        <v>0</v>
      </c>
      <c r="M29" s="487"/>
      <c r="N29" s="478">
        <f t="shared" si="5"/>
        <v>0</v>
      </c>
      <c r="O29" s="478">
        <f t="shared" si="6"/>
        <v>0</v>
      </c>
      <c r="P29" s="242"/>
    </row>
    <row r="30" spans="2:16">
      <c r="B30" s="160" t="str">
        <f t="shared" si="3"/>
        <v/>
      </c>
      <c r="C30" s="472">
        <f>IF(D11="","-",+C29+1)</f>
        <v>2027</v>
      </c>
      <c r="D30" s="485">
        <f>IF(F29+SUM(E$17:E29)=D$10,F29,D$10-SUM(E$17:E29))</f>
        <v>1231496.9600513608</v>
      </c>
      <c r="E30" s="484">
        <f t="shared" si="13"/>
        <v>41086.829761904766</v>
      </c>
      <c r="F30" s="485">
        <f t="shared" si="14"/>
        <v>1190410.1302894561</v>
      </c>
      <c r="G30" s="486">
        <f t="shared" si="15"/>
        <v>169426.82976190478</v>
      </c>
      <c r="H30" s="455">
        <f t="shared" si="16"/>
        <v>169426.82976190478</v>
      </c>
      <c r="I30" s="475">
        <f t="shared" si="4"/>
        <v>0</v>
      </c>
      <c r="J30" s="475"/>
      <c r="K30" s="487"/>
      <c r="L30" s="478">
        <f t="shared" si="17"/>
        <v>0</v>
      </c>
      <c r="M30" s="487"/>
      <c r="N30" s="478">
        <f t="shared" si="5"/>
        <v>0</v>
      </c>
      <c r="O30" s="478">
        <f t="shared" si="6"/>
        <v>0</v>
      </c>
      <c r="P30" s="242"/>
    </row>
    <row r="31" spans="2:16">
      <c r="B31" s="160" t="str">
        <f t="shared" si="3"/>
        <v/>
      </c>
      <c r="C31" s="472">
        <f>IF(D11="","-",+C30+1)</f>
        <v>2028</v>
      </c>
      <c r="D31" s="485">
        <f>IF(F30+SUM(E$17:E30)=D$10,F30,D$10-SUM(E$17:E30))</f>
        <v>1190410.1302894561</v>
      </c>
      <c r="E31" s="484">
        <f t="shared" si="13"/>
        <v>41086.829761904766</v>
      </c>
      <c r="F31" s="485">
        <f t="shared" si="14"/>
        <v>1149323.3005275514</v>
      </c>
      <c r="G31" s="486">
        <f t="shared" si="15"/>
        <v>164996.82976190478</v>
      </c>
      <c r="H31" s="455">
        <f t="shared" si="16"/>
        <v>164996.82976190478</v>
      </c>
      <c r="I31" s="475">
        <f t="shared" si="4"/>
        <v>0</v>
      </c>
      <c r="J31" s="475"/>
      <c r="K31" s="487"/>
      <c r="L31" s="478">
        <f t="shared" si="17"/>
        <v>0</v>
      </c>
      <c r="M31" s="487"/>
      <c r="N31" s="478">
        <f t="shared" si="5"/>
        <v>0</v>
      </c>
      <c r="O31" s="478">
        <f t="shared" si="6"/>
        <v>0</v>
      </c>
      <c r="P31" s="242"/>
    </row>
    <row r="32" spans="2:16">
      <c r="B32" s="160" t="str">
        <f t="shared" si="3"/>
        <v/>
      </c>
      <c r="C32" s="472">
        <f>IF(D11="","-",+C31+1)</f>
        <v>2029</v>
      </c>
      <c r="D32" s="485">
        <f>IF(F31+SUM(E$17:E31)=D$10,F31,D$10-SUM(E$17:E31))</f>
        <v>1149323.3005275514</v>
      </c>
      <c r="E32" s="484">
        <f t="shared" si="13"/>
        <v>41086.829761904766</v>
      </c>
      <c r="F32" s="485">
        <f t="shared" si="14"/>
        <v>1108236.4707656468</v>
      </c>
      <c r="G32" s="486">
        <f t="shared" si="15"/>
        <v>160566.82976190478</v>
      </c>
      <c r="H32" s="455">
        <f t="shared" si="16"/>
        <v>160566.82976190478</v>
      </c>
      <c r="I32" s="475">
        <f t="shared" si="4"/>
        <v>0</v>
      </c>
      <c r="J32" s="475"/>
      <c r="K32" s="487"/>
      <c r="L32" s="478">
        <f t="shared" si="17"/>
        <v>0</v>
      </c>
      <c r="M32" s="487"/>
      <c r="N32" s="478">
        <f t="shared" si="5"/>
        <v>0</v>
      </c>
      <c r="O32" s="478">
        <f t="shared" si="6"/>
        <v>0</v>
      </c>
      <c r="P32" s="242"/>
    </row>
    <row r="33" spans="2:16">
      <c r="B33" s="160" t="str">
        <f t="shared" si="3"/>
        <v/>
      </c>
      <c r="C33" s="472">
        <f>IF(D11="","-",+C32+1)</f>
        <v>2030</v>
      </c>
      <c r="D33" s="485">
        <f>IF(F32+SUM(E$17:E32)=D$10,F32,D$10-SUM(E$17:E32))</f>
        <v>1108236.4707656468</v>
      </c>
      <c r="E33" s="484">
        <f t="shared" si="13"/>
        <v>41086.829761904766</v>
      </c>
      <c r="F33" s="485">
        <f t="shared" si="14"/>
        <v>1067149.6410037421</v>
      </c>
      <c r="G33" s="486">
        <f t="shared" si="15"/>
        <v>156137.82976190478</v>
      </c>
      <c r="H33" s="455">
        <f t="shared" si="16"/>
        <v>156137.82976190478</v>
      </c>
      <c r="I33" s="475">
        <f t="shared" si="4"/>
        <v>0</v>
      </c>
      <c r="J33" s="475"/>
      <c r="K33" s="487"/>
      <c r="L33" s="478">
        <f t="shared" si="17"/>
        <v>0</v>
      </c>
      <c r="M33" s="487"/>
      <c r="N33" s="478">
        <f t="shared" si="5"/>
        <v>0</v>
      </c>
      <c r="O33" s="478">
        <f t="shared" si="6"/>
        <v>0</v>
      </c>
      <c r="P33" s="242"/>
    </row>
    <row r="34" spans="2:16">
      <c r="B34" s="160" t="str">
        <f t="shared" si="3"/>
        <v/>
      </c>
      <c r="C34" s="472">
        <f>IF(D11="","-",+C33+1)</f>
        <v>2031</v>
      </c>
      <c r="D34" s="485">
        <f>IF(F33+SUM(E$17:E33)=D$10,F33,D$10-SUM(E$17:E33))</f>
        <v>1067149.6410037421</v>
      </c>
      <c r="E34" s="484">
        <f t="shared" si="13"/>
        <v>41086.829761904766</v>
      </c>
      <c r="F34" s="485">
        <f t="shared" si="14"/>
        <v>1026062.8112418373</v>
      </c>
      <c r="G34" s="486">
        <f t="shared" si="15"/>
        <v>151707.82976190478</v>
      </c>
      <c r="H34" s="455">
        <f t="shared" si="16"/>
        <v>151707.82976190478</v>
      </c>
      <c r="I34" s="475">
        <f t="shared" si="4"/>
        <v>0</v>
      </c>
      <c r="J34" s="475"/>
      <c r="K34" s="487"/>
      <c r="L34" s="478">
        <f t="shared" si="17"/>
        <v>0</v>
      </c>
      <c r="M34" s="487"/>
      <c r="N34" s="478">
        <f t="shared" si="5"/>
        <v>0</v>
      </c>
      <c r="O34" s="478">
        <f t="shared" si="6"/>
        <v>0</v>
      </c>
      <c r="P34" s="242"/>
    </row>
    <row r="35" spans="2:16">
      <c r="B35" s="160" t="str">
        <f t="shared" si="3"/>
        <v/>
      </c>
      <c r="C35" s="472">
        <f>IF(D11="","-",+C34+1)</f>
        <v>2032</v>
      </c>
      <c r="D35" s="485">
        <f>IF(F34+SUM(E$17:E34)=D$10,F34,D$10-SUM(E$17:E34))</f>
        <v>1026062.8112418373</v>
      </c>
      <c r="E35" s="484">
        <f t="shared" si="13"/>
        <v>41086.829761904766</v>
      </c>
      <c r="F35" s="485">
        <f t="shared" si="14"/>
        <v>984975.98147993255</v>
      </c>
      <c r="G35" s="486">
        <f t="shared" si="15"/>
        <v>147277.82976190478</v>
      </c>
      <c r="H35" s="455">
        <f t="shared" si="16"/>
        <v>147277.82976190478</v>
      </c>
      <c r="I35" s="475">
        <f t="shared" si="4"/>
        <v>0</v>
      </c>
      <c r="J35" s="475"/>
      <c r="K35" s="487"/>
      <c r="L35" s="478">
        <f t="shared" si="17"/>
        <v>0</v>
      </c>
      <c r="M35" s="487"/>
      <c r="N35" s="478">
        <f t="shared" si="5"/>
        <v>0</v>
      </c>
      <c r="O35" s="478">
        <f t="shared" si="6"/>
        <v>0</v>
      </c>
      <c r="P35" s="242"/>
    </row>
    <row r="36" spans="2:16">
      <c r="B36" s="160" t="str">
        <f t="shared" si="3"/>
        <v/>
      </c>
      <c r="C36" s="472">
        <f>IF(D11="","-",+C35+1)</f>
        <v>2033</v>
      </c>
      <c r="D36" s="485">
        <f>IF(F35+SUM(E$17:E35)=D$10,F35,D$10-SUM(E$17:E35))</f>
        <v>984975.98147993255</v>
      </c>
      <c r="E36" s="484">
        <f t="shared" si="13"/>
        <v>41086.829761904766</v>
      </c>
      <c r="F36" s="485">
        <f t="shared" si="14"/>
        <v>943889.15171802777</v>
      </c>
      <c r="G36" s="486">
        <f t="shared" si="15"/>
        <v>142848.82976190478</v>
      </c>
      <c r="H36" s="455">
        <f t="shared" si="16"/>
        <v>142848.82976190478</v>
      </c>
      <c r="I36" s="475">
        <f t="shared" si="4"/>
        <v>0</v>
      </c>
      <c r="J36" s="475"/>
      <c r="K36" s="487"/>
      <c r="L36" s="478">
        <f t="shared" si="17"/>
        <v>0</v>
      </c>
      <c r="M36" s="487"/>
      <c r="N36" s="478">
        <f t="shared" si="5"/>
        <v>0</v>
      </c>
      <c r="O36" s="478">
        <f t="shared" si="6"/>
        <v>0</v>
      </c>
      <c r="P36" s="242"/>
    </row>
    <row r="37" spans="2:16">
      <c r="B37" s="160" t="str">
        <f t="shared" si="3"/>
        <v/>
      </c>
      <c r="C37" s="472">
        <f>IF(D11="","-",+C36+1)</f>
        <v>2034</v>
      </c>
      <c r="D37" s="485">
        <f>IF(F36+SUM(E$17:E36)=D$10,F36,D$10-SUM(E$17:E36))</f>
        <v>943889.15171802777</v>
      </c>
      <c r="E37" s="484">
        <f t="shared" si="13"/>
        <v>41086.829761904766</v>
      </c>
      <c r="F37" s="485">
        <f t="shared" si="14"/>
        <v>902802.32195612299</v>
      </c>
      <c r="G37" s="486">
        <f t="shared" si="15"/>
        <v>138418.82976190478</v>
      </c>
      <c r="H37" s="455">
        <f t="shared" si="16"/>
        <v>138418.82976190478</v>
      </c>
      <c r="I37" s="475">
        <f t="shared" si="4"/>
        <v>0</v>
      </c>
      <c r="J37" s="475"/>
      <c r="K37" s="487"/>
      <c r="L37" s="478">
        <f t="shared" si="17"/>
        <v>0</v>
      </c>
      <c r="M37" s="487"/>
      <c r="N37" s="478">
        <f t="shared" si="5"/>
        <v>0</v>
      </c>
      <c r="O37" s="478">
        <f t="shared" si="6"/>
        <v>0</v>
      </c>
      <c r="P37" s="242"/>
    </row>
    <row r="38" spans="2:16">
      <c r="B38" s="160" t="str">
        <f t="shared" si="3"/>
        <v/>
      </c>
      <c r="C38" s="472">
        <f>IF(D11="","-",+C37+1)</f>
        <v>2035</v>
      </c>
      <c r="D38" s="485">
        <f>IF(F37+SUM(E$17:E37)=D$10,F37,D$10-SUM(E$17:E37))</f>
        <v>902802.32195612299</v>
      </c>
      <c r="E38" s="484">
        <f t="shared" si="13"/>
        <v>41086.829761904766</v>
      </c>
      <c r="F38" s="485">
        <f t="shared" si="14"/>
        <v>861715.49219421821</v>
      </c>
      <c r="G38" s="486">
        <f t="shared" si="15"/>
        <v>133989.82976190478</v>
      </c>
      <c r="H38" s="455">
        <f t="shared" si="16"/>
        <v>133989.82976190478</v>
      </c>
      <c r="I38" s="475">
        <f t="shared" si="4"/>
        <v>0</v>
      </c>
      <c r="J38" s="475"/>
      <c r="K38" s="487"/>
      <c r="L38" s="478">
        <f t="shared" si="17"/>
        <v>0</v>
      </c>
      <c r="M38" s="487"/>
      <c r="N38" s="478">
        <f t="shared" si="5"/>
        <v>0</v>
      </c>
      <c r="O38" s="478">
        <f t="shared" si="6"/>
        <v>0</v>
      </c>
      <c r="P38" s="242"/>
    </row>
    <row r="39" spans="2:16">
      <c r="B39" s="160" t="str">
        <f t="shared" si="3"/>
        <v/>
      </c>
      <c r="C39" s="472">
        <f>IF(D11="","-",+C38+1)</f>
        <v>2036</v>
      </c>
      <c r="D39" s="485">
        <f>IF(F38+SUM(E$17:E38)=D$10,F38,D$10-SUM(E$17:E38))</f>
        <v>861715.49219421821</v>
      </c>
      <c r="E39" s="484">
        <f t="shared" si="13"/>
        <v>41086.829761904766</v>
      </c>
      <c r="F39" s="485">
        <f t="shared" si="14"/>
        <v>820628.66243231343</v>
      </c>
      <c r="G39" s="486">
        <f t="shared" si="15"/>
        <v>129559.82976190477</v>
      </c>
      <c r="H39" s="455">
        <f t="shared" si="16"/>
        <v>129559.82976190477</v>
      </c>
      <c r="I39" s="475">
        <f t="shared" si="4"/>
        <v>0</v>
      </c>
      <c r="J39" s="475"/>
      <c r="K39" s="487"/>
      <c r="L39" s="478">
        <f t="shared" si="17"/>
        <v>0</v>
      </c>
      <c r="M39" s="487"/>
      <c r="N39" s="478">
        <f t="shared" si="5"/>
        <v>0</v>
      </c>
      <c r="O39" s="478">
        <f t="shared" si="6"/>
        <v>0</v>
      </c>
      <c r="P39" s="242"/>
    </row>
    <row r="40" spans="2:16">
      <c r="B40" s="160" t="str">
        <f t="shared" si="3"/>
        <v/>
      </c>
      <c r="C40" s="472">
        <f>IF(D11="","-",+C39+1)</f>
        <v>2037</v>
      </c>
      <c r="D40" s="485">
        <f>IF(F39+SUM(E$17:E39)=D$10,F39,D$10-SUM(E$17:E39))</f>
        <v>820628.66243231343</v>
      </c>
      <c r="E40" s="484">
        <f t="shared" si="13"/>
        <v>41086.829761904766</v>
      </c>
      <c r="F40" s="485">
        <f t="shared" si="14"/>
        <v>779541.83267040865</v>
      </c>
      <c r="G40" s="486">
        <f t="shared" si="15"/>
        <v>125129.82976190477</v>
      </c>
      <c r="H40" s="455">
        <f t="shared" si="16"/>
        <v>125129.82976190477</v>
      </c>
      <c r="I40" s="475">
        <f t="shared" si="4"/>
        <v>0</v>
      </c>
      <c r="J40" s="475"/>
      <c r="K40" s="487"/>
      <c r="L40" s="478">
        <f t="shared" si="17"/>
        <v>0</v>
      </c>
      <c r="M40" s="487"/>
      <c r="N40" s="478">
        <f t="shared" si="5"/>
        <v>0</v>
      </c>
      <c r="O40" s="478">
        <f t="shared" si="6"/>
        <v>0</v>
      </c>
      <c r="P40" s="242"/>
    </row>
    <row r="41" spans="2:16">
      <c r="B41" s="160" t="str">
        <f t="shared" si="3"/>
        <v/>
      </c>
      <c r="C41" s="472">
        <f>IF(D11="","-",+C40+1)</f>
        <v>2038</v>
      </c>
      <c r="D41" s="485">
        <f>IF(F40+SUM(E$17:E40)=D$10,F40,D$10-SUM(E$17:E40))</f>
        <v>779541.83267040865</v>
      </c>
      <c r="E41" s="484">
        <f t="shared" si="13"/>
        <v>41086.829761904766</v>
      </c>
      <c r="F41" s="485">
        <f t="shared" si="14"/>
        <v>738455.00290850387</v>
      </c>
      <c r="G41" s="486">
        <f t="shared" si="15"/>
        <v>120700.82976190477</v>
      </c>
      <c r="H41" s="455">
        <f t="shared" si="16"/>
        <v>120700.82976190477</v>
      </c>
      <c r="I41" s="475">
        <f t="shared" si="4"/>
        <v>0</v>
      </c>
      <c r="J41" s="475"/>
      <c r="K41" s="487"/>
      <c r="L41" s="478">
        <f t="shared" si="17"/>
        <v>0</v>
      </c>
      <c r="M41" s="487"/>
      <c r="N41" s="478">
        <f t="shared" si="5"/>
        <v>0</v>
      </c>
      <c r="O41" s="478">
        <f t="shared" si="6"/>
        <v>0</v>
      </c>
      <c r="P41" s="242"/>
    </row>
    <row r="42" spans="2:16">
      <c r="B42" s="160" t="str">
        <f t="shared" si="3"/>
        <v/>
      </c>
      <c r="C42" s="472">
        <f>IF(D11="","-",+C41+1)</f>
        <v>2039</v>
      </c>
      <c r="D42" s="485">
        <f>IF(F41+SUM(E$17:E41)=D$10,F41,D$10-SUM(E$17:E41))</f>
        <v>738455.00290850387</v>
      </c>
      <c r="E42" s="484">
        <f t="shared" si="13"/>
        <v>41086.829761904766</v>
      </c>
      <c r="F42" s="485">
        <f t="shared" si="14"/>
        <v>697368.17314659909</v>
      </c>
      <c r="G42" s="486">
        <f t="shared" si="15"/>
        <v>116270.82976190477</v>
      </c>
      <c r="H42" s="455">
        <f t="shared" si="16"/>
        <v>116270.82976190477</v>
      </c>
      <c r="I42" s="475">
        <f t="shared" si="4"/>
        <v>0</v>
      </c>
      <c r="J42" s="475"/>
      <c r="K42" s="487"/>
      <c r="L42" s="478">
        <f t="shared" si="17"/>
        <v>0</v>
      </c>
      <c r="M42" s="487"/>
      <c r="N42" s="478">
        <f t="shared" si="5"/>
        <v>0</v>
      </c>
      <c r="O42" s="478">
        <f t="shared" si="6"/>
        <v>0</v>
      </c>
      <c r="P42" s="242"/>
    </row>
    <row r="43" spans="2:16">
      <c r="B43" s="160" t="str">
        <f t="shared" si="3"/>
        <v/>
      </c>
      <c r="C43" s="472">
        <f>IF(D11="","-",+C42+1)</f>
        <v>2040</v>
      </c>
      <c r="D43" s="485">
        <f>IF(F42+SUM(E$17:E42)=D$10,F42,D$10-SUM(E$17:E42))</f>
        <v>697368.17314659909</v>
      </c>
      <c r="E43" s="484">
        <f t="shared" si="13"/>
        <v>41086.829761904766</v>
      </c>
      <c r="F43" s="485">
        <f t="shared" si="14"/>
        <v>656281.34338469431</v>
      </c>
      <c r="G43" s="486">
        <f t="shared" si="15"/>
        <v>111841.82976190477</v>
      </c>
      <c r="H43" s="455">
        <f t="shared" si="16"/>
        <v>111841.82976190477</v>
      </c>
      <c r="I43" s="475">
        <f t="shared" si="4"/>
        <v>0</v>
      </c>
      <c r="J43" s="475"/>
      <c r="K43" s="487"/>
      <c r="L43" s="478">
        <f t="shared" si="17"/>
        <v>0</v>
      </c>
      <c r="M43" s="487"/>
      <c r="N43" s="478">
        <f t="shared" si="5"/>
        <v>0</v>
      </c>
      <c r="O43" s="478">
        <f t="shared" si="6"/>
        <v>0</v>
      </c>
      <c r="P43" s="242"/>
    </row>
    <row r="44" spans="2:16">
      <c r="B44" s="160" t="str">
        <f t="shared" si="3"/>
        <v/>
      </c>
      <c r="C44" s="472">
        <f>IF(D11="","-",+C43+1)</f>
        <v>2041</v>
      </c>
      <c r="D44" s="485">
        <f>IF(F43+SUM(E$17:E43)=D$10,F43,D$10-SUM(E$17:E43))</f>
        <v>656281.34338469431</v>
      </c>
      <c r="E44" s="484">
        <f t="shared" si="13"/>
        <v>41086.829761904766</v>
      </c>
      <c r="F44" s="485">
        <f t="shared" si="14"/>
        <v>615194.51362278953</v>
      </c>
      <c r="G44" s="486">
        <f t="shared" si="15"/>
        <v>107411.82976190477</v>
      </c>
      <c r="H44" s="455">
        <f t="shared" si="16"/>
        <v>107411.82976190477</v>
      </c>
      <c r="I44" s="475">
        <f t="shared" si="4"/>
        <v>0</v>
      </c>
      <c r="J44" s="475"/>
      <c r="K44" s="487"/>
      <c r="L44" s="478">
        <f t="shared" si="17"/>
        <v>0</v>
      </c>
      <c r="M44" s="487"/>
      <c r="N44" s="478">
        <f t="shared" si="5"/>
        <v>0</v>
      </c>
      <c r="O44" s="478">
        <f t="shared" si="6"/>
        <v>0</v>
      </c>
      <c r="P44" s="242"/>
    </row>
    <row r="45" spans="2:16">
      <c r="B45" s="160" t="str">
        <f t="shared" si="3"/>
        <v/>
      </c>
      <c r="C45" s="472">
        <f>IF(D11="","-",+C44+1)</f>
        <v>2042</v>
      </c>
      <c r="D45" s="485">
        <f>IF(F44+SUM(E$17:E44)=D$10,F44,D$10-SUM(E$17:E44))</f>
        <v>615194.51362278953</v>
      </c>
      <c r="E45" s="484">
        <f t="shared" si="13"/>
        <v>41086.829761904766</v>
      </c>
      <c r="F45" s="485">
        <f t="shared" si="14"/>
        <v>574107.68386088475</v>
      </c>
      <c r="G45" s="486">
        <f t="shared" si="15"/>
        <v>102981.82976190477</v>
      </c>
      <c r="H45" s="455">
        <f t="shared" si="16"/>
        <v>102981.82976190477</v>
      </c>
      <c r="I45" s="475">
        <f t="shared" si="4"/>
        <v>0</v>
      </c>
      <c r="J45" s="475"/>
      <c r="K45" s="487"/>
      <c r="L45" s="478">
        <f t="shared" si="17"/>
        <v>0</v>
      </c>
      <c r="M45" s="487"/>
      <c r="N45" s="478">
        <f t="shared" si="5"/>
        <v>0</v>
      </c>
      <c r="O45" s="478">
        <f t="shared" si="6"/>
        <v>0</v>
      </c>
      <c r="P45" s="242"/>
    </row>
    <row r="46" spans="2:16">
      <c r="B46" s="160" t="str">
        <f t="shared" si="3"/>
        <v/>
      </c>
      <c r="C46" s="472">
        <f>IF(D11="","-",+C45+1)</f>
        <v>2043</v>
      </c>
      <c r="D46" s="485">
        <f>IF(F45+SUM(E$17:E45)=D$10,F45,D$10-SUM(E$17:E45))</f>
        <v>574107.68386088475</v>
      </c>
      <c r="E46" s="484">
        <f t="shared" si="13"/>
        <v>41086.829761904766</v>
      </c>
      <c r="F46" s="485">
        <f t="shared" si="14"/>
        <v>533020.85409897997</v>
      </c>
      <c r="G46" s="486">
        <f t="shared" si="15"/>
        <v>98552.829761904766</v>
      </c>
      <c r="H46" s="455">
        <f t="shared" si="16"/>
        <v>98552.829761904766</v>
      </c>
      <c r="I46" s="475">
        <f t="shared" si="4"/>
        <v>0</v>
      </c>
      <c r="J46" s="475"/>
      <c r="K46" s="487"/>
      <c r="L46" s="478">
        <f t="shared" si="17"/>
        <v>0</v>
      </c>
      <c r="M46" s="487"/>
      <c r="N46" s="478">
        <f t="shared" si="5"/>
        <v>0</v>
      </c>
      <c r="O46" s="478">
        <f t="shared" si="6"/>
        <v>0</v>
      </c>
      <c r="P46" s="242"/>
    </row>
    <row r="47" spans="2:16">
      <c r="B47" s="160" t="str">
        <f t="shared" si="3"/>
        <v/>
      </c>
      <c r="C47" s="472">
        <f>IF(D11="","-",+C46+1)</f>
        <v>2044</v>
      </c>
      <c r="D47" s="485">
        <f>IF(F46+SUM(E$17:E46)=D$10,F46,D$10-SUM(E$17:E46))</f>
        <v>533020.85409897997</v>
      </c>
      <c r="E47" s="484">
        <f t="shared" si="13"/>
        <v>41086.829761904766</v>
      </c>
      <c r="F47" s="485">
        <f t="shared" si="14"/>
        <v>491934.02433707519</v>
      </c>
      <c r="G47" s="486">
        <f t="shared" si="15"/>
        <v>94122.829761904766</v>
      </c>
      <c r="H47" s="455">
        <f t="shared" si="16"/>
        <v>94122.829761904766</v>
      </c>
      <c r="I47" s="475">
        <f t="shared" si="4"/>
        <v>0</v>
      </c>
      <c r="J47" s="475"/>
      <c r="K47" s="487"/>
      <c r="L47" s="478">
        <f t="shared" si="17"/>
        <v>0</v>
      </c>
      <c r="M47" s="487"/>
      <c r="N47" s="478">
        <f t="shared" si="5"/>
        <v>0</v>
      </c>
      <c r="O47" s="478">
        <f t="shared" si="6"/>
        <v>0</v>
      </c>
      <c r="P47" s="242"/>
    </row>
    <row r="48" spans="2:16">
      <c r="B48" s="160" t="str">
        <f t="shared" si="3"/>
        <v/>
      </c>
      <c r="C48" s="472">
        <f>IF(D11="","-",+C47+1)</f>
        <v>2045</v>
      </c>
      <c r="D48" s="485">
        <f>IF(F47+SUM(E$17:E47)=D$10,F47,D$10-SUM(E$17:E47))</f>
        <v>491934.02433707519</v>
      </c>
      <c r="E48" s="484">
        <f t="shared" si="13"/>
        <v>41086.829761904766</v>
      </c>
      <c r="F48" s="485">
        <f t="shared" si="14"/>
        <v>450847.1945751704</v>
      </c>
      <c r="G48" s="486">
        <f t="shared" si="15"/>
        <v>89692.829761904766</v>
      </c>
      <c r="H48" s="455">
        <f t="shared" si="16"/>
        <v>89692.829761904766</v>
      </c>
      <c r="I48" s="475">
        <f t="shared" si="4"/>
        <v>0</v>
      </c>
      <c r="J48" s="475"/>
      <c r="K48" s="487"/>
      <c r="L48" s="478">
        <f t="shared" si="17"/>
        <v>0</v>
      </c>
      <c r="M48" s="487"/>
      <c r="N48" s="478">
        <f t="shared" si="5"/>
        <v>0</v>
      </c>
      <c r="O48" s="478">
        <f t="shared" si="6"/>
        <v>0</v>
      </c>
      <c r="P48" s="242"/>
    </row>
    <row r="49" spans="2:16">
      <c r="B49" s="160" t="str">
        <f t="shared" si="3"/>
        <v/>
      </c>
      <c r="C49" s="472">
        <f>IF(D11="","-",+C48+1)</f>
        <v>2046</v>
      </c>
      <c r="D49" s="485">
        <f>IF(F48+SUM(E$17:E48)=D$10,F48,D$10-SUM(E$17:E48))</f>
        <v>450847.1945751704</v>
      </c>
      <c r="E49" s="484">
        <f t="shared" si="13"/>
        <v>41086.829761904766</v>
      </c>
      <c r="F49" s="485">
        <f t="shared" si="14"/>
        <v>409760.36481326562</v>
      </c>
      <c r="G49" s="486">
        <f t="shared" si="15"/>
        <v>85263.829761904766</v>
      </c>
      <c r="H49" s="455">
        <f t="shared" si="16"/>
        <v>85263.829761904766</v>
      </c>
      <c r="I49" s="475">
        <f t="shared" si="4"/>
        <v>0</v>
      </c>
      <c r="J49" s="475"/>
      <c r="K49" s="487"/>
      <c r="L49" s="478">
        <f t="shared" si="17"/>
        <v>0</v>
      </c>
      <c r="M49" s="487"/>
      <c r="N49" s="478">
        <f t="shared" si="5"/>
        <v>0</v>
      </c>
      <c r="O49" s="478">
        <f t="shared" si="6"/>
        <v>0</v>
      </c>
      <c r="P49" s="242"/>
    </row>
    <row r="50" spans="2:16">
      <c r="B50" s="160" t="str">
        <f t="shared" si="3"/>
        <v/>
      </c>
      <c r="C50" s="472">
        <f>IF(D11="","-",+C49+1)</f>
        <v>2047</v>
      </c>
      <c r="D50" s="485">
        <f>IF(F49+SUM(E$17:E49)=D$10,F49,D$10-SUM(E$17:E49))</f>
        <v>409760.36481326562</v>
      </c>
      <c r="E50" s="484">
        <f t="shared" si="13"/>
        <v>41086.829761904766</v>
      </c>
      <c r="F50" s="485">
        <f t="shared" si="14"/>
        <v>368673.53505136084</v>
      </c>
      <c r="G50" s="486">
        <f t="shared" si="15"/>
        <v>80833.829761904766</v>
      </c>
      <c r="H50" s="455">
        <f t="shared" si="16"/>
        <v>80833.829761904766</v>
      </c>
      <c r="I50" s="475">
        <f t="shared" si="4"/>
        <v>0</v>
      </c>
      <c r="J50" s="475"/>
      <c r="K50" s="487"/>
      <c r="L50" s="478">
        <f t="shared" si="17"/>
        <v>0</v>
      </c>
      <c r="M50" s="487"/>
      <c r="N50" s="478">
        <f t="shared" si="5"/>
        <v>0</v>
      </c>
      <c r="O50" s="478">
        <f t="shared" si="6"/>
        <v>0</v>
      </c>
      <c r="P50" s="242"/>
    </row>
    <row r="51" spans="2:16">
      <c r="B51" s="160" t="str">
        <f t="shared" si="3"/>
        <v/>
      </c>
      <c r="C51" s="472">
        <f>IF(D11="","-",+C50+1)</f>
        <v>2048</v>
      </c>
      <c r="D51" s="485">
        <f>IF(F50+SUM(E$17:E50)=D$10,F50,D$10-SUM(E$17:E50))</f>
        <v>368673.53505136084</v>
      </c>
      <c r="E51" s="484">
        <f t="shared" si="13"/>
        <v>41086.829761904766</v>
      </c>
      <c r="F51" s="485">
        <f t="shared" si="14"/>
        <v>327586.70528945606</v>
      </c>
      <c r="G51" s="486">
        <f t="shared" si="15"/>
        <v>76404.829761904766</v>
      </c>
      <c r="H51" s="455">
        <f t="shared" si="16"/>
        <v>76404.829761904766</v>
      </c>
      <c r="I51" s="475">
        <f t="shared" si="4"/>
        <v>0</v>
      </c>
      <c r="J51" s="475"/>
      <c r="K51" s="487"/>
      <c r="L51" s="478">
        <f t="shared" si="17"/>
        <v>0</v>
      </c>
      <c r="M51" s="487"/>
      <c r="N51" s="478">
        <f t="shared" si="5"/>
        <v>0</v>
      </c>
      <c r="O51" s="478">
        <f t="shared" si="6"/>
        <v>0</v>
      </c>
      <c r="P51" s="242"/>
    </row>
    <row r="52" spans="2:16">
      <c r="B52" s="160" t="str">
        <f t="shared" si="3"/>
        <v/>
      </c>
      <c r="C52" s="472">
        <f>IF(D11="","-",+C51+1)</f>
        <v>2049</v>
      </c>
      <c r="D52" s="485">
        <f>IF(F51+SUM(E$17:E51)=D$10,F51,D$10-SUM(E$17:E51))</f>
        <v>327586.70528945606</v>
      </c>
      <c r="E52" s="484">
        <f t="shared" si="13"/>
        <v>41086.829761904766</v>
      </c>
      <c r="F52" s="485">
        <f t="shared" si="14"/>
        <v>286499.87552755128</v>
      </c>
      <c r="G52" s="486">
        <f t="shared" si="15"/>
        <v>71974.829761904766</v>
      </c>
      <c r="H52" s="455">
        <f t="shared" si="16"/>
        <v>71974.829761904766</v>
      </c>
      <c r="I52" s="475">
        <f t="shared" si="4"/>
        <v>0</v>
      </c>
      <c r="J52" s="475"/>
      <c r="K52" s="487"/>
      <c r="L52" s="478">
        <f t="shared" si="17"/>
        <v>0</v>
      </c>
      <c r="M52" s="487"/>
      <c r="N52" s="478">
        <f t="shared" si="5"/>
        <v>0</v>
      </c>
      <c r="O52" s="478">
        <f t="shared" si="6"/>
        <v>0</v>
      </c>
      <c r="P52" s="242"/>
    </row>
    <row r="53" spans="2:16">
      <c r="B53" s="160" t="str">
        <f t="shared" si="3"/>
        <v/>
      </c>
      <c r="C53" s="472">
        <f>IF(D11="","-",+C52+1)</f>
        <v>2050</v>
      </c>
      <c r="D53" s="485">
        <f>IF(F52+SUM(E$17:E52)=D$10,F52,D$10-SUM(E$17:E52))</f>
        <v>286499.87552755128</v>
      </c>
      <c r="E53" s="484">
        <f t="shared" si="13"/>
        <v>41086.829761904766</v>
      </c>
      <c r="F53" s="485">
        <f t="shared" si="14"/>
        <v>245413.0457656465</v>
      </c>
      <c r="G53" s="486">
        <f t="shared" si="15"/>
        <v>67544.829761904766</v>
      </c>
      <c r="H53" s="455">
        <f t="shared" si="16"/>
        <v>67544.829761904766</v>
      </c>
      <c r="I53" s="475">
        <f t="shared" si="4"/>
        <v>0</v>
      </c>
      <c r="J53" s="475"/>
      <c r="K53" s="487"/>
      <c r="L53" s="478">
        <f t="shared" si="17"/>
        <v>0</v>
      </c>
      <c r="M53" s="487"/>
      <c r="N53" s="478">
        <f t="shared" si="5"/>
        <v>0</v>
      </c>
      <c r="O53" s="478">
        <f t="shared" si="6"/>
        <v>0</v>
      </c>
      <c r="P53" s="242"/>
    </row>
    <row r="54" spans="2:16">
      <c r="B54" s="160" t="str">
        <f t="shared" si="3"/>
        <v/>
      </c>
      <c r="C54" s="472">
        <f>IF(D11="","-",+C53+1)</f>
        <v>2051</v>
      </c>
      <c r="D54" s="485">
        <f>IF(F53+SUM(E$17:E53)=D$10,F53,D$10-SUM(E$17:E53))</f>
        <v>245413.0457656465</v>
      </c>
      <c r="E54" s="484">
        <f t="shared" si="13"/>
        <v>41086.829761904766</v>
      </c>
      <c r="F54" s="485">
        <f t="shared" si="14"/>
        <v>204326.21600374172</v>
      </c>
      <c r="G54" s="486">
        <f t="shared" si="15"/>
        <v>63115.829761904766</v>
      </c>
      <c r="H54" s="455">
        <f t="shared" si="16"/>
        <v>63115.829761904766</v>
      </c>
      <c r="I54" s="475">
        <f t="shared" si="4"/>
        <v>0</v>
      </c>
      <c r="J54" s="475"/>
      <c r="K54" s="487"/>
      <c r="L54" s="478">
        <f t="shared" si="17"/>
        <v>0</v>
      </c>
      <c r="M54" s="487"/>
      <c r="N54" s="478">
        <f t="shared" si="5"/>
        <v>0</v>
      </c>
      <c r="O54" s="478">
        <f t="shared" si="6"/>
        <v>0</v>
      </c>
      <c r="P54" s="242"/>
    </row>
    <row r="55" spans="2:16">
      <c r="B55" s="160" t="str">
        <f t="shared" si="3"/>
        <v/>
      </c>
      <c r="C55" s="472">
        <f>IF(D11="","-",+C54+1)</f>
        <v>2052</v>
      </c>
      <c r="D55" s="485">
        <f>IF(F54+SUM(E$17:E54)=D$10,F54,D$10-SUM(E$17:E54))</f>
        <v>204326.21600374172</v>
      </c>
      <c r="E55" s="484">
        <f t="shared" si="13"/>
        <v>41086.829761904766</v>
      </c>
      <c r="F55" s="485">
        <f t="shared" si="14"/>
        <v>163239.38624183694</v>
      </c>
      <c r="G55" s="486">
        <f t="shared" si="15"/>
        <v>58685.829761904766</v>
      </c>
      <c r="H55" s="455">
        <f t="shared" si="16"/>
        <v>58685.829761904766</v>
      </c>
      <c r="I55" s="475">
        <f t="shared" si="4"/>
        <v>0</v>
      </c>
      <c r="J55" s="475"/>
      <c r="K55" s="487"/>
      <c r="L55" s="478">
        <f t="shared" si="17"/>
        <v>0</v>
      </c>
      <c r="M55" s="487"/>
      <c r="N55" s="478">
        <f t="shared" si="5"/>
        <v>0</v>
      </c>
      <c r="O55" s="478">
        <f t="shared" si="6"/>
        <v>0</v>
      </c>
      <c r="P55" s="242"/>
    </row>
    <row r="56" spans="2:16">
      <c r="B56" s="160" t="str">
        <f t="shared" si="3"/>
        <v/>
      </c>
      <c r="C56" s="472">
        <f>IF(D11="","-",+C55+1)</f>
        <v>2053</v>
      </c>
      <c r="D56" s="485">
        <f>IF(F55+SUM(E$17:E55)=D$10,F55,D$10-SUM(E$17:E55))</f>
        <v>163239.38624183694</v>
      </c>
      <c r="E56" s="484">
        <f t="shared" si="13"/>
        <v>41086.829761904766</v>
      </c>
      <c r="F56" s="485">
        <f t="shared" si="14"/>
        <v>122152.55647993217</v>
      </c>
      <c r="G56" s="486">
        <f t="shared" si="15"/>
        <v>54255.829761904766</v>
      </c>
      <c r="H56" s="455">
        <f t="shared" si="16"/>
        <v>54255.829761904766</v>
      </c>
      <c r="I56" s="475">
        <f t="shared" si="4"/>
        <v>0</v>
      </c>
      <c r="J56" s="475"/>
      <c r="K56" s="487"/>
      <c r="L56" s="478">
        <f t="shared" si="17"/>
        <v>0</v>
      </c>
      <c r="M56" s="487"/>
      <c r="N56" s="478">
        <f t="shared" si="5"/>
        <v>0</v>
      </c>
      <c r="O56" s="478">
        <f t="shared" si="6"/>
        <v>0</v>
      </c>
      <c r="P56" s="242"/>
    </row>
    <row r="57" spans="2:16">
      <c r="B57" s="160" t="str">
        <f t="shared" si="3"/>
        <v/>
      </c>
      <c r="C57" s="472">
        <f>IF(D11="","-",+C56+1)</f>
        <v>2054</v>
      </c>
      <c r="D57" s="485">
        <f>IF(F56+SUM(E$17:E56)=D$10,F56,D$10-SUM(E$17:E56))</f>
        <v>122152.55647993217</v>
      </c>
      <c r="E57" s="484">
        <f t="shared" si="13"/>
        <v>41086.829761904766</v>
      </c>
      <c r="F57" s="485">
        <f t="shared" si="14"/>
        <v>81065.726718027407</v>
      </c>
      <c r="G57" s="486">
        <f t="shared" si="15"/>
        <v>49826.829761904766</v>
      </c>
      <c r="H57" s="455">
        <f t="shared" si="16"/>
        <v>49826.829761904766</v>
      </c>
      <c r="I57" s="475">
        <f t="shared" si="4"/>
        <v>0</v>
      </c>
      <c r="J57" s="475"/>
      <c r="K57" s="487"/>
      <c r="L57" s="478">
        <f t="shared" si="17"/>
        <v>0</v>
      </c>
      <c r="M57" s="487"/>
      <c r="N57" s="478">
        <f t="shared" si="5"/>
        <v>0</v>
      </c>
      <c r="O57" s="478">
        <f t="shared" si="6"/>
        <v>0</v>
      </c>
      <c r="P57" s="242"/>
    </row>
    <row r="58" spans="2:16">
      <c r="B58" s="160" t="str">
        <f t="shared" si="3"/>
        <v/>
      </c>
      <c r="C58" s="472">
        <f>IF(D11="","-",+C57+1)</f>
        <v>2055</v>
      </c>
      <c r="D58" s="485">
        <f>IF(F57+SUM(E$17:E57)=D$10,F57,D$10-SUM(E$17:E57))</f>
        <v>81065.726718027407</v>
      </c>
      <c r="E58" s="484">
        <f t="shared" si="13"/>
        <v>41086.829761904766</v>
      </c>
      <c r="F58" s="485">
        <f t="shared" si="14"/>
        <v>39978.89695612264</v>
      </c>
      <c r="G58" s="486">
        <f t="shared" si="15"/>
        <v>45396.829761904766</v>
      </c>
      <c r="H58" s="455">
        <f t="shared" si="16"/>
        <v>45396.829761904766</v>
      </c>
      <c r="I58" s="475">
        <f t="shared" si="4"/>
        <v>0</v>
      </c>
      <c r="J58" s="475"/>
      <c r="K58" s="487"/>
      <c r="L58" s="478">
        <f t="shared" si="17"/>
        <v>0</v>
      </c>
      <c r="M58" s="487"/>
      <c r="N58" s="478">
        <f t="shared" si="5"/>
        <v>0</v>
      </c>
      <c r="O58" s="478">
        <f t="shared" si="6"/>
        <v>0</v>
      </c>
      <c r="P58" s="242"/>
    </row>
    <row r="59" spans="2:16">
      <c r="B59" s="160" t="str">
        <f t="shared" si="3"/>
        <v/>
      </c>
      <c r="C59" s="472">
        <f>IF(D11="","-",+C58+1)</f>
        <v>2056</v>
      </c>
      <c r="D59" s="485">
        <f>IF(F58+SUM(E$17:E58)=D$10,F58,D$10-SUM(E$17:E58))</f>
        <v>39978.89695612264</v>
      </c>
      <c r="E59" s="484">
        <f t="shared" si="13"/>
        <v>39978.89695612264</v>
      </c>
      <c r="F59" s="485">
        <f t="shared" si="14"/>
        <v>0</v>
      </c>
      <c r="G59" s="486">
        <f t="shared" si="15"/>
        <v>39978.89695612264</v>
      </c>
      <c r="H59" s="455">
        <f t="shared" si="16"/>
        <v>39978.89695612264</v>
      </c>
      <c r="I59" s="475">
        <f t="shared" si="4"/>
        <v>0</v>
      </c>
      <c r="J59" s="475"/>
      <c r="K59" s="487"/>
      <c r="L59" s="478">
        <f t="shared" si="17"/>
        <v>0</v>
      </c>
      <c r="M59" s="487"/>
      <c r="N59" s="478">
        <f t="shared" si="5"/>
        <v>0</v>
      </c>
      <c r="O59" s="478">
        <f t="shared" si="6"/>
        <v>0</v>
      </c>
      <c r="P59" s="242"/>
    </row>
    <row r="60" spans="2:16">
      <c r="B60" s="160" t="str">
        <f t="shared" si="3"/>
        <v/>
      </c>
      <c r="C60" s="472">
        <f>IF(D11="","-",+C59+1)</f>
        <v>2057</v>
      </c>
      <c r="D60" s="485">
        <f>IF(F59+SUM(E$17:E59)=D$10,F59,D$10-SUM(E$17:E59))</f>
        <v>0</v>
      </c>
      <c r="E60" s="484">
        <f t="shared" si="13"/>
        <v>0</v>
      </c>
      <c r="F60" s="485">
        <f t="shared" si="14"/>
        <v>0</v>
      </c>
      <c r="G60" s="486">
        <f t="shared" si="15"/>
        <v>0</v>
      </c>
      <c r="H60" s="455">
        <f t="shared" si="16"/>
        <v>0</v>
      </c>
      <c r="I60" s="475">
        <f t="shared" si="4"/>
        <v>0</v>
      </c>
      <c r="J60" s="475"/>
      <c r="K60" s="487"/>
      <c r="L60" s="478">
        <f t="shared" si="17"/>
        <v>0</v>
      </c>
      <c r="M60" s="487"/>
      <c r="N60" s="478">
        <f t="shared" si="5"/>
        <v>0</v>
      </c>
      <c r="O60" s="478">
        <f t="shared" si="6"/>
        <v>0</v>
      </c>
      <c r="P60" s="242"/>
    </row>
    <row r="61" spans="2:16">
      <c r="B61" s="160" t="str">
        <f t="shared" si="3"/>
        <v/>
      </c>
      <c r="C61" s="472">
        <f>IF(D11="","-",+C60+1)</f>
        <v>2058</v>
      </c>
      <c r="D61" s="485">
        <f>IF(F60+SUM(E$17:E60)=D$10,F60,D$10-SUM(E$17:E60))</f>
        <v>0</v>
      </c>
      <c r="E61" s="484">
        <f t="shared" si="13"/>
        <v>0</v>
      </c>
      <c r="F61" s="485">
        <f t="shared" si="14"/>
        <v>0</v>
      </c>
      <c r="G61" s="486">
        <f t="shared" si="15"/>
        <v>0</v>
      </c>
      <c r="H61" s="455">
        <f t="shared" si="16"/>
        <v>0</v>
      </c>
      <c r="I61" s="475">
        <f t="shared" si="4"/>
        <v>0</v>
      </c>
      <c r="J61" s="475"/>
      <c r="K61" s="487"/>
      <c r="L61" s="478">
        <f t="shared" si="17"/>
        <v>0</v>
      </c>
      <c r="M61" s="487"/>
      <c r="N61" s="478">
        <f t="shared" si="5"/>
        <v>0</v>
      </c>
      <c r="O61" s="478">
        <f t="shared" si="6"/>
        <v>0</v>
      </c>
      <c r="P61" s="242"/>
    </row>
    <row r="62" spans="2:16">
      <c r="B62" s="160" t="str">
        <f t="shared" si="3"/>
        <v/>
      </c>
      <c r="C62" s="472">
        <f>IF(D11="","-",+C61+1)</f>
        <v>2059</v>
      </c>
      <c r="D62" s="485">
        <f>IF(F61+SUM(E$17:E61)=D$10,F61,D$10-SUM(E$17:E61))</f>
        <v>0</v>
      </c>
      <c r="E62" s="484">
        <f t="shared" si="13"/>
        <v>0</v>
      </c>
      <c r="F62" s="485">
        <f t="shared" si="14"/>
        <v>0</v>
      </c>
      <c r="G62" s="486">
        <f t="shared" si="15"/>
        <v>0</v>
      </c>
      <c r="H62" s="455">
        <f t="shared" si="16"/>
        <v>0</v>
      </c>
      <c r="I62" s="475">
        <f t="shared" si="4"/>
        <v>0</v>
      </c>
      <c r="J62" s="475"/>
      <c r="K62" s="487"/>
      <c r="L62" s="478">
        <f t="shared" si="17"/>
        <v>0</v>
      </c>
      <c r="M62" s="487"/>
      <c r="N62" s="478">
        <f t="shared" si="5"/>
        <v>0</v>
      </c>
      <c r="O62" s="478">
        <f t="shared" si="6"/>
        <v>0</v>
      </c>
      <c r="P62" s="242"/>
    </row>
    <row r="63" spans="2:16">
      <c r="B63" s="160" t="str">
        <f t="shared" si="3"/>
        <v/>
      </c>
      <c r="C63" s="472">
        <f>IF(D11="","-",+C62+1)</f>
        <v>2060</v>
      </c>
      <c r="D63" s="485">
        <f>IF(F62+SUM(E$17:E62)=D$10,F62,D$10-SUM(E$17:E62))</f>
        <v>0</v>
      </c>
      <c r="E63" s="484">
        <f t="shared" si="13"/>
        <v>0</v>
      </c>
      <c r="F63" s="485">
        <f t="shared" si="14"/>
        <v>0</v>
      </c>
      <c r="G63" s="486">
        <f t="shared" si="15"/>
        <v>0</v>
      </c>
      <c r="H63" s="455">
        <f t="shared" si="16"/>
        <v>0</v>
      </c>
      <c r="I63" s="475">
        <f t="shared" si="4"/>
        <v>0</v>
      </c>
      <c r="J63" s="475"/>
      <c r="K63" s="487"/>
      <c r="L63" s="478">
        <f t="shared" si="17"/>
        <v>0</v>
      </c>
      <c r="M63" s="487"/>
      <c r="N63" s="478">
        <f t="shared" si="5"/>
        <v>0</v>
      </c>
      <c r="O63" s="478">
        <f t="shared" si="6"/>
        <v>0</v>
      </c>
      <c r="P63" s="242"/>
    </row>
    <row r="64" spans="2:16">
      <c r="B64" s="160" t="str">
        <f t="shared" si="3"/>
        <v/>
      </c>
      <c r="C64" s="472">
        <f>IF(D11="","-",+C63+1)</f>
        <v>2061</v>
      </c>
      <c r="D64" s="485">
        <f>IF(F63+SUM(E$17:E63)=D$10,F63,D$10-SUM(E$17:E63))</f>
        <v>0</v>
      </c>
      <c r="E64" s="484">
        <f t="shared" si="13"/>
        <v>0</v>
      </c>
      <c r="F64" s="485">
        <f t="shared" si="14"/>
        <v>0</v>
      </c>
      <c r="G64" s="486">
        <f t="shared" si="15"/>
        <v>0</v>
      </c>
      <c r="H64" s="455">
        <f t="shared" si="16"/>
        <v>0</v>
      </c>
      <c r="I64" s="475">
        <f t="shared" si="4"/>
        <v>0</v>
      </c>
      <c r="J64" s="475"/>
      <c r="K64" s="487"/>
      <c r="L64" s="478">
        <f t="shared" si="17"/>
        <v>0</v>
      </c>
      <c r="M64" s="487"/>
      <c r="N64" s="478">
        <f t="shared" si="5"/>
        <v>0</v>
      </c>
      <c r="O64" s="478">
        <f t="shared" si="6"/>
        <v>0</v>
      </c>
      <c r="P64" s="242"/>
    </row>
    <row r="65" spans="2:16">
      <c r="B65" s="160" t="str">
        <f t="shared" si="3"/>
        <v/>
      </c>
      <c r="C65" s="472">
        <f>IF(D11="","-",+C64+1)</f>
        <v>2062</v>
      </c>
      <c r="D65" s="485">
        <f>IF(F64+SUM(E$17:E64)=D$10,F64,D$10-SUM(E$17:E64))</f>
        <v>0</v>
      </c>
      <c r="E65" s="484">
        <f t="shared" si="13"/>
        <v>0</v>
      </c>
      <c r="F65" s="485">
        <f t="shared" si="14"/>
        <v>0</v>
      </c>
      <c r="G65" s="486">
        <f t="shared" si="15"/>
        <v>0</v>
      </c>
      <c r="H65" s="455">
        <f t="shared" si="16"/>
        <v>0</v>
      </c>
      <c r="I65" s="475">
        <f t="shared" si="4"/>
        <v>0</v>
      </c>
      <c r="J65" s="475"/>
      <c r="K65" s="487"/>
      <c r="L65" s="478">
        <f t="shared" si="17"/>
        <v>0</v>
      </c>
      <c r="M65" s="487"/>
      <c r="N65" s="478">
        <f t="shared" si="5"/>
        <v>0</v>
      </c>
      <c r="O65" s="478">
        <f t="shared" si="6"/>
        <v>0</v>
      </c>
      <c r="P65" s="242"/>
    </row>
    <row r="66" spans="2:16">
      <c r="B66" s="160" t="str">
        <f t="shared" si="3"/>
        <v/>
      </c>
      <c r="C66" s="472">
        <f>IF(D11="","-",+C65+1)</f>
        <v>2063</v>
      </c>
      <c r="D66" s="485">
        <f>IF(F65+SUM(E$17:E65)=D$10,F65,D$10-SUM(E$17:E65))</f>
        <v>0</v>
      </c>
      <c r="E66" s="484">
        <f t="shared" si="13"/>
        <v>0</v>
      </c>
      <c r="F66" s="485">
        <f t="shared" si="14"/>
        <v>0</v>
      </c>
      <c r="G66" s="486">
        <f t="shared" si="15"/>
        <v>0</v>
      </c>
      <c r="H66" s="455">
        <f t="shared" si="16"/>
        <v>0</v>
      </c>
      <c r="I66" s="475">
        <f t="shared" si="4"/>
        <v>0</v>
      </c>
      <c r="J66" s="475"/>
      <c r="K66" s="487"/>
      <c r="L66" s="478">
        <f t="shared" si="17"/>
        <v>0</v>
      </c>
      <c r="M66" s="487"/>
      <c r="N66" s="478">
        <f t="shared" si="5"/>
        <v>0</v>
      </c>
      <c r="O66" s="478">
        <f t="shared" si="6"/>
        <v>0</v>
      </c>
      <c r="P66" s="242"/>
    </row>
    <row r="67" spans="2:16">
      <c r="B67" s="160" t="str">
        <f t="shared" si="3"/>
        <v/>
      </c>
      <c r="C67" s="472">
        <f>IF(D11="","-",+C66+1)</f>
        <v>2064</v>
      </c>
      <c r="D67" s="485">
        <f>IF(F66+SUM(E$17:E66)=D$10,F66,D$10-SUM(E$17:E66))</f>
        <v>0</v>
      </c>
      <c r="E67" s="484">
        <f t="shared" si="13"/>
        <v>0</v>
      </c>
      <c r="F67" s="485">
        <f t="shared" si="14"/>
        <v>0</v>
      </c>
      <c r="G67" s="486">
        <f t="shared" si="15"/>
        <v>0</v>
      </c>
      <c r="H67" s="455">
        <f t="shared" si="16"/>
        <v>0</v>
      </c>
      <c r="I67" s="475">
        <f t="shared" si="4"/>
        <v>0</v>
      </c>
      <c r="J67" s="475"/>
      <c r="K67" s="487"/>
      <c r="L67" s="478">
        <f t="shared" si="17"/>
        <v>0</v>
      </c>
      <c r="M67" s="487"/>
      <c r="N67" s="478">
        <f t="shared" si="5"/>
        <v>0</v>
      </c>
      <c r="O67" s="478">
        <f t="shared" si="6"/>
        <v>0</v>
      </c>
      <c r="P67" s="242"/>
    </row>
    <row r="68" spans="2:16">
      <c r="B68" s="160" t="str">
        <f t="shared" si="3"/>
        <v/>
      </c>
      <c r="C68" s="472">
        <f>IF(D11="","-",+C67+1)</f>
        <v>2065</v>
      </c>
      <c r="D68" s="485">
        <f>IF(F67+SUM(E$17:E67)=D$10,F67,D$10-SUM(E$17:E67))</f>
        <v>0</v>
      </c>
      <c r="E68" s="484">
        <f t="shared" si="13"/>
        <v>0</v>
      </c>
      <c r="F68" s="485">
        <f t="shared" si="14"/>
        <v>0</v>
      </c>
      <c r="G68" s="486">
        <f t="shared" si="15"/>
        <v>0</v>
      </c>
      <c r="H68" s="455">
        <f t="shared" si="16"/>
        <v>0</v>
      </c>
      <c r="I68" s="475">
        <f t="shared" si="4"/>
        <v>0</v>
      </c>
      <c r="J68" s="475"/>
      <c r="K68" s="487"/>
      <c r="L68" s="478">
        <f t="shared" si="17"/>
        <v>0</v>
      </c>
      <c r="M68" s="487"/>
      <c r="N68" s="478">
        <f t="shared" si="5"/>
        <v>0</v>
      </c>
      <c r="O68" s="478">
        <f t="shared" si="6"/>
        <v>0</v>
      </c>
      <c r="P68" s="242"/>
    </row>
    <row r="69" spans="2:16">
      <c r="B69" s="160" t="str">
        <f t="shared" si="3"/>
        <v/>
      </c>
      <c r="C69" s="472">
        <f>IF(D11="","-",+C68+1)</f>
        <v>2066</v>
      </c>
      <c r="D69" s="485">
        <f>IF(F68+SUM(E$17:E68)=D$10,F68,D$10-SUM(E$17:E68))</f>
        <v>0</v>
      </c>
      <c r="E69" s="484">
        <f t="shared" si="13"/>
        <v>0</v>
      </c>
      <c r="F69" s="485">
        <f t="shared" si="14"/>
        <v>0</v>
      </c>
      <c r="G69" s="486">
        <f t="shared" si="15"/>
        <v>0</v>
      </c>
      <c r="H69" s="455">
        <f t="shared" si="16"/>
        <v>0</v>
      </c>
      <c r="I69" s="475">
        <f t="shared" si="4"/>
        <v>0</v>
      </c>
      <c r="J69" s="475"/>
      <c r="K69" s="487"/>
      <c r="L69" s="478">
        <f t="shared" si="17"/>
        <v>0</v>
      </c>
      <c r="M69" s="487"/>
      <c r="N69" s="478">
        <f t="shared" si="5"/>
        <v>0</v>
      </c>
      <c r="O69" s="478">
        <f t="shared" si="6"/>
        <v>0</v>
      </c>
      <c r="P69" s="242"/>
    </row>
    <row r="70" spans="2:16">
      <c r="B70" s="160" t="str">
        <f t="shared" si="3"/>
        <v/>
      </c>
      <c r="C70" s="472">
        <f>IF(D11="","-",+C69+1)</f>
        <v>2067</v>
      </c>
      <c r="D70" s="485">
        <f>IF(F69+SUM(E$17:E69)=D$10,F69,D$10-SUM(E$17:E69))</f>
        <v>0</v>
      </c>
      <c r="E70" s="484">
        <f t="shared" si="13"/>
        <v>0</v>
      </c>
      <c r="F70" s="485">
        <f t="shared" si="14"/>
        <v>0</v>
      </c>
      <c r="G70" s="486">
        <f t="shared" si="15"/>
        <v>0</v>
      </c>
      <c r="H70" s="455">
        <f t="shared" si="16"/>
        <v>0</v>
      </c>
      <c r="I70" s="475">
        <f t="shared" si="4"/>
        <v>0</v>
      </c>
      <c r="J70" s="475"/>
      <c r="K70" s="487"/>
      <c r="L70" s="478">
        <f t="shared" si="17"/>
        <v>0</v>
      </c>
      <c r="M70" s="487"/>
      <c r="N70" s="478">
        <f t="shared" si="5"/>
        <v>0</v>
      </c>
      <c r="O70" s="478">
        <f t="shared" si="6"/>
        <v>0</v>
      </c>
      <c r="P70" s="242"/>
    </row>
    <row r="71" spans="2:16">
      <c r="B71" s="160" t="str">
        <f t="shared" si="3"/>
        <v/>
      </c>
      <c r="C71" s="472">
        <f>IF(D11="","-",+C70+1)</f>
        <v>2068</v>
      </c>
      <c r="D71" s="485">
        <f>IF(F70+SUM(E$17:E70)=D$10,F70,D$10-SUM(E$17:E70))</f>
        <v>0</v>
      </c>
      <c r="E71" s="484">
        <f t="shared" si="13"/>
        <v>0</v>
      </c>
      <c r="F71" s="485">
        <f t="shared" si="14"/>
        <v>0</v>
      </c>
      <c r="G71" s="486">
        <f t="shared" si="15"/>
        <v>0</v>
      </c>
      <c r="H71" s="455">
        <f t="shared" si="16"/>
        <v>0</v>
      </c>
      <c r="I71" s="475">
        <f t="shared" si="4"/>
        <v>0</v>
      </c>
      <c r="J71" s="475"/>
      <c r="K71" s="487"/>
      <c r="L71" s="478">
        <f t="shared" si="17"/>
        <v>0</v>
      </c>
      <c r="M71" s="487"/>
      <c r="N71" s="478">
        <f t="shared" si="5"/>
        <v>0</v>
      </c>
      <c r="O71" s="478">
        <f t="shared" si="6"/>
        <v>0</v>
      </c>
      <c r="P71" s="242"/>
    </row>
    <row r="72" spans="2:16" ht="13.5" thickBot="1">
      <c r="B72" s="160" t="str">
        <f t="shared" si="3"/>
        <v/>
      </c>
      <c r="C72" s="489">
        <f>IF(D11="","-",+C71+1)</f>
        <v>2069</v>
      </c>
      <c r="D72" s="490">
        <f>IF(F71+SUM(E$17:E71)=D$10,F71,D$10-SUM(E$17:E71))</f>
        <v>0</v>
      </c>
      <c r="E72" s="491">
        <f t="shared" si="13"/>
        <v>0</v>
      </c>
      <c r="F72" s="490">
        <f t="shared" si="14"/>
        <v>0</v>
      </c>
      <c r="G72" s="544">
        <f t="shared" si="15"/>
        <v>0</v>
      </c>
      <c r="H72" s="435">
        <f t="shared" si="16"/>
        <v>0</v>
      </c>
      <c r="I72" s="493">
        <f t="shared" si="4"/>
        <v>0</v>
      </c>
      <c r="J72" s="475"/>
      <c r="K72" s="494"/>
      <c r="L72" s="495">
        <f t="shared" si="17"/>
        <v>0</v>
      </c>
      <c r="M72" s="494"/>
      <c r="N72" s="495">
        <f t="shared" si="5"/>
        <v>0</v>
      </c>
      <c r="O72" s="495">
        <f t="shared" si="6"/>
        <v>0</v>
      </c>
      <c r="P72" s="242"/>
    </row>
    <row r="73" spans="2:16">
      <c r="C73" s="346" t="s">
        <v>77</v>
      </c>
      <c r="D73" s="347"/>
      <c r="E73" s="347">
        <f>SUM(E17:E72)</f>
        <v>1725646.8499999996</v>
      </c>
      <c r="F73" s="347"/>
      <c r="G73" s="347">
        <f>SUM(G17:G72)</f>
        <v>5918699.9184331466</v>
      </c>
      <c r="H73" s="347">
        <f>SUM(H17:H72)</f>
        <v>5918699.9184331466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18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203353.13199328393</v>
      </c>
      <c r="N87" s="508">
        <f>IF(J92&lt;D11,0,VLOOKUP(J92,C17:O72,11))</f>
        <v>203353.13199328393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214872.45782422918</v>
      </c>
      <c r="N88" s="512">
        <f>IF(J92&lt;D11,0,VLOOKUP(J92,C99:P154,7))</f>
        <v>214872.45782422918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Darlington-Red Rock 138 kV line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11519.32583094525</v>
      </c>
      <c r="N89" s="517">
        <f>+N88-N87</f>
        <v>11519.32583094525</v>
      </c>
      <c r="O89" s="518">
        <f>+O88-O87</f>
        <v>0</v>
      </c>
      <c r="P89" s="232"/>
    </row>
    <row r="90" spans="1:16" ht="13.5" thickBot="1">
      <c r="C90" s="496"/>
      <c r="D90" s="611" t="s">
        <v>274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TP2012112</v>
      </c>
      <c r="E91" s="522" t="str">
        <f>E9</f>
        <v xml:space="preserve">  SPP Project ID = 30746</v>
      </c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609">
        <v>1725647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2014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41087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2014</v>
      </c>
      <c r="D99" s="584"/>
      <c r="E99" s="585"/>
      <c r="F99" s="586"/>
      <c r="G99" s="605"/>
      <c r="H99" s="606"/>
      <c r="I99" s="607"/>
      <c r="J99" s="478">
        <v>0</v>
      </c>
      <c r="K99" s="478"/>
      <c r="L99" s="476">
        <f t="shared" ref="L99:L105" si="18">H99</f>
        <v>0</v>
      </c>
      <c r="M99" s="348">
        <f t="shared" ref="M99:M105" si="19">IF(L99&lt;&gt;0,+H99-L99,0)</f>
        <v>0</v>
      </c>
      <c r="N99" s="476">
        <f t="shared" ref="N99:N105" si="20">I99</f>
        <v>0</v>
      </c>
      <c r="O99" s="475">
        <f>IF(N99&lt;&gt;0,+I99-N99,0)</f>
        <v>0</v>
      </c>
      <c r="P99" s="478">
        <f>+O99-M99</f>
        <v>0</v>
      </c>
    </row>
    <row r="100" spans="1:16">
      <c r="B100" s="160" t="str">
        <f>IF(D100=F99,"","IU")</f>
        <v>IU</v>
      </c>
      <c r="C100" s="472">
        <f>IF(D93="","-",+C99+1)</f>
        <v>2015</v>
      </c>
      <c r="D100" s="578">
        <v>1703523.1724358976</v>
      </c>
      <c r="E100" s="579">
        <v>32760</v>
      </c>
      <c r="F100" s="578">
        <v>1670763.1724358976</v>
      </c>
      <c r="G100" s="579">
        <v>1687143.1724358976</v>
      </c>
      <c r="H100" s="602">
        <v>262957.1205792831</v>
      </c>
      <c r="I100" s="578">
        <v>262957.1205792831</v>
      </c>
      <c r="J100" s="478">
        <f>+I100-H100</f>
        <v>0</v>
      </c>
      <c r="K100" s="478"/>
      <c r="L100" s="476">
        <f t="shared" si="18"/>
        <v>262957.1205792831</v>
      </c>
      <c r="M100" s="348">
        <f t="shared" si="19"/>
        <v>0</v>
      </c>
      <c r="N100" s="476">
        <f t="shared" si="20"/>
        <v>262957.1205792831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21">IF(D101=F100,"","IU")</f>
        <v>IU</v>
      </c>
      <c r="C101" s="472">
        <f>IF(D93="","-",+C100+1)</f>
        <v>2016</v>
      </c>
      <c r="D101" s="578">
        <v>1692887</v>
      </c>
      <c r="E101" s="579">
        <v>37514</v>
      </c>
      <c r="F101" s="578">
        <v>1655373</v>
      </c>
      <c r="G101" s="579">
        <v>1674130</v>
      </c>
      <c r="H101" s="602">
        <v>250555.65084872485</v>
      </c>
      <c r="I101" s="578">
        <v>250555.65084872485</v>
      </c>
      <c r="J101" s="478">
        <f t="shared" ref="J101:J154" si="22">+I101-H101</f>
        <v>0</v>
      </c>
      <c r="K101" s="478"/>
      <c r="L101" s="476">
        <f t="shared" si="18"/>
        <v>250555.65084872485</v>
      </c>
      <c r="M101" s="348">
        <f t="shared" si="19"/>
        <v>0</v>
      </c>
      <c r="N101" s="476">
        <f t="shared" si="20"/>
        <v>250555.65084872485</v>
      </c>
      <c r="O101" s="475">
        <f>IF(N101&lt;&gt;0,+I101-N101,0)</f>
        <v>0</v>
      </c>
      <c r="P101" s="478">
        <f>+O101-M101</f>
        <v>0</v>
      </c>
    </row>
    <row r="102" spans="1:16">
      <c r="B102" s="160" t="str">
        <f t="shared" si="21"/>
        <v/>
      </c>
      <c r="C102" s="472">
        <f>IF(D93="","-",+C101+1)</f>
        <v>2017</v>
      </c>
      <c r="D102" s="578">
        <v>1655373</v>
      </c>
      <c r="E102" s="579">
        <v>37514</v>
      </c>
      <c r="F102" s="578">
        <v>1617859</v>
      </c>
      <c r="G102" s="579">
        <v>1636616</v>
      </c>
      <c r="H102" s="602">
        <v>245122.86632871011</v>
      </c>
      <c r="I102" s="578">
        <v>245122.86632871011</v>
      </c>
      <c r="J102" s="478">
        <f t="shared" si="22"/>
        <v>0</v>
      </c>
      <c r="K102" s="478"/>
      <c r="L102" s="476">
        <f t="shared" si="18"/>
        <v>245122.86632871011</v>
      </c>
      <c r="M102" s="348">
        <f t="shared" si="19"/>
        <v>0</v>
      </c>
      <c r="N102" s="476">
        <f t="shared" si="20"/>
        <v>245122.86632871011</v>
      </c>
      <c r="O102" s="475">
        <f>IF(N102&lt;&gt;0,+I102-N102,0)</f>
        <v>0</v>
      </c>
      <c r="P102" s="478">
        <f>+O102-M102</f>
        <v>0</v>
      </c>
    </row>
    <row r="103" spans="1:16">
      <c r="B103" s="160" t="str">
        <f t="shared" si="21"/>
        <v/>
      </c>
      <c r="C103" s="472">
        <f>IF(D93="","-",+C102+1)</f>
        <v>2018</v>
      </c>
      <c r="D103" s="578">
        <v>1617859</v>
      </c>
      <c r="E103" s="579">
        <v>40131</v>
      </c>
      <c r="F103" s="578">
        <v>1577728</v>
      </c>
      <c r="G103" s="579">
        <v>1597793.5</v>
      </c>
      <c r="H103" s="602">
        <v>204281.22089486517</v>
      </c>
      <c r="I103" s="578">
        <v>204281.22089486517</v>
      </c>
      <c r="J103" s="478">
        <f t="shared" si="22"/>
        <v>0</v>
      </c>
      <c r="K103" s="478"/>
      <c r="L103" s="476">
        <f t="shared" si="18"/>
        <v>204281.22089486517</v>
      </c>
      <c r="M103" s="348">
        <f t="shared" si="19"/>
        <v>0</v>
      </c>
      <c r="N103" s="476">
        <f t="shared" si="20"/>
        <v>204281.22089486517</v>
      </c>
      <c r="O103" s="475">
        <f>IF(N103&lt;&gt;0,+I103-N103,0)</f>
        <v>0</v>
      </c>
      <c r="P103" s="478">
        <f>+O103-M103</f>
        <v>0</v>
      </c>
    </row>
    <row r="104" spans="1:16">
      <c r="B104" s="160" t="str">
        <f t="shared" si="21"/>
        <v/>
      </c>
      <c r="C104" s="472">
        <f>IF(D93="","-",+C103+1)</f>
        <v>2019</v>
      </c>
      <c r="D104" s="578">
        <v>1577728</v>
      </c>
      <c r="E104" s="579">
        <v>42089</v>
      </c>
      <c r="F104" s="578">
        <v>1535639</v>
      </c>
      <c r="G104" s="579">
        <v>1556683.5</v>
      </c>
      <c r="H104" s="602">
        <v>202604.90301828689</v>
      </c>
      <c r="I104" s="578">
        <v>202604.90301828689</v>
      </c>
      <c r="J104" s="478">
        <f t="shared" si="22"/>
        <v>0</v>
      </c>
      <c r="K104" s="478"/>
      <c r="L104" s="476">
        <f t="shared" si="18"/>
        <v>202604.90301828689</v>
      </c>
      <c r="M104" s="348">
        <f t="shared" si="19"/>
        <v>0</v>
      </c>
      <c r="N104" s="476">
        <f t="shared" si="20"/>
        <v>202604.90301828689</v>
      </c>
      <c r="O104" s="478">
        <f t="shared" ref="O104:O130" si="23">IF(N104&lt;&gt;0,+I104-N104,0)</f>
        <v>0</v>
      </c>
      <c r="P104" s="478">
        <f t="shared" ref="P104:P130" si="24">+O104-M104</f>
        <v>0</v>
      </c>
    </row>
    <row r="105" spans="1:16">
      <c r="B105" s="160" t="str">
        <f t="shared" si="21"/>
        <v/>
      </c>
      <c r="C105" s="472">
        <f>IF(D93="","-",+C104+1)</f>
        <v>2020</v>
      </c>
      <c r="D105" s="578">
        <v>1535639</v>
      </c>
      <c r="E105" s="579">
        <v>40131</v>
      </c>
      <c r="F105" s="578">
        <v>1495508</v>
      </c>
      <c r="G105" s="579">
        <v>1515573.5</v>
      </c>
      <c r="H105" s="602">
        <v>214872.45782422918</v>
      </c>
      <c r="I105" s="578">
        <v>214872.45782422918</v>
      </c>
      <c r="J105" s="478">
        <f t="shared" si="22"/>
        <v>0</v>
      </c>
      <c r="K105" s="478"/>
      <c r="L105" s="476">
        <f t="shared" si="18"/>
        <v>214872.45782422918</v>
      </c>
      <c r="M105" s="348">
        <f t="shared" si="19"/>
        <v>0</v>
      </c>
      <c r="N105" s="476">
        <f t="shared" si="20"/>
        <v>214872.45782422918</v>
      </c>
      <c r="O105" s="478">
        <f t="shared" si="23"/>
        <v>0</v>
      </c>
      <c r="P105" s="478">
        <f t="shared" si="24"/>
        <v>0</v>
      </c>
    </row>
    <row r="106" spans="1:16">
      <c r="B106" s="160" t="str">
        <f t="shared" si="21"/>
        <v/>
      </c>
      <c r="C106" s="472">
        <f>IF(D93="","-",+C105+1)</f>
        <v>2021</v>
      </c>
      <c r="D106" s="346">
        <f>IF(F105+SUM(E$99:E105)=D$92,F105,D$92-SUM(E$99:E105))</f>
        <v>1495508</v>
      </c>
      <c r="E106" s="484">
        <f t="shared" ref="E106:E154" si="25">IF(+J$96&lt;F105,J$96,D106)</f>
        <v>41087</v>
      </c>
      <c r="F106" s="485">
        <f t="shared" ref="F106:F154" si="26">+D106-E106</f>
        <v>1454421</v>
      </c>
      <c r="G106" s="485">
        <f t="shared" ref="G106:G154" si="27">+(F106+D106)/2</f>
        <v>1474964.5</v>
      </c>
      <c r="H106" s="488">
        <f t="shared" ref="H106:H154" si="28">+J$94*G106+E106</f>
        <v>200104.76026647029</v>
      </c>
      <c r="I106" s="542">
        <f t="shared" ref="I106:I154" si="29">+J$95*G106+E106</f>
        <v>200104.76026647029</v>
      </c>
      <c r="J106" s="478">
        <f t="shared" si="22"/>
        <v>0</v>
      </c>
      <c r="K106" s="478"/>
      <c r="L106" s="487"/>
      <c r="M106" s="478">
        <f t="shared" ref="M106:M130" si="30">IF(L106&lt;&gt;0,+H106-L106,0)</f>
        <v>0</v>
      </c>
      <c r="N106" s="487"/>
      <c r="O106" s="478">
        <f t="shared" si="23"/>
        <v>0</v>
      </c>
      <c r="P106" s="478">
        <f t="shared" si="24"/>
        <v>0</v>
      </c>
    </row>
    <row r="107" spans="1:16">
      <c r="B107" s="160" t="str">
        <f t="shared" si="21"/>
        <v/>
      </c>
      <c r="C107" s="472">
        <f>IF(D93="","-",+C106+1)</f>
        <v>2022</v>
      </c>
      <c r="D107" s="346">
        <f>IF(F106+SUM(E$99:E106)=D$92,F106,D$92-SUM(E$99:E106))</f>
        <v>1454421</v>
      </c>
      <c r="E107" s="484">
        <f t="shared" si="25"/>
        <v>41087</v>
      </c>
      <c r="F107" s="485">
        <f t="shared" si="26"/>
        <v>1413334</v>
      </c>
      <c r="G107" s="485">
        <f t="shared" si="27"/>
        <v>1433877.5</v>
      </c>
      <c r="H107" s="488">
        <f t="shared" si="28"/>
        <v>195675.11960998771</v>
      </c>
      <c r="I107" s="542">
        <f t="shared" si="29"/>
        <v>195675.11960998771</v>
      </c>
      <c r="J107" s="478">
        <f t="shared" si="22"/>
        <v>0</v>
      </c>
      <c r="K107" s="478"/>
      <c r="L107" s="487"/>
      <c r="M107" s="478">
        <f t="shared" si="30"/>
        <v>0</v>
      </c>
      <c r="N107" s="487"/>
      <c r="O107" s="478">
        <f t="shared" si="23"/>
        <v>0</v>
      </c>
      <c r="P107" s="478">
        <f t="shared" si="24"/>
        <v>0</v>
      </c>
    </row>
    <row r="108" spans="1:16">
      <c r="B108" s="160" t="str">
        <f t="shared" si="21"/>
        <v/>
      </c>
      <c r="C108" s="472">
        <f>IF(D93="","-",+C107+1)</f>
        <v>2023</v>
      </c>
      <c r="D108" s="346">
        <f>IF(F107+SUM(E$99:E107)=D$92,F107,D$92-SUM(E$99:E107))</f>
        <v>1413334</v>
      </c>
      <c r="E108" s="484">
        <f t="shared" si="25"/>
        <v>41087</v>
      </c>
      <c r="F108" s="485">
        <f t="shared" si="26"/>
        <v>1372247</v>
      </c>
      <c r="G108" s="485">
        <f t="shared" si="27"/>
        <v>1392790.5</v>
      </c>
      <c r="H108" s="488">
        <f t="shared" si="28"/>
        <v>191245.47895350517</v>
      </c>
      <c r="I108" s="542">
        <f t="shared" si="29"/>
        <v>191245.47895350517</v>
      </c>
      <c r="J108" s="478">
        <f t="shared" si="22"/>
        <v>0</v>
      </c>
      <c r="K108" s="478"/>
      <c r="L108" s="487"/>
      <c r="M108" s="478">
        <f t="shared" si="30"/>
        <v>0</v>
      </c>
      <c r="N108" s="487"/>
      <c r="O108" s="478">
        <f t="shared" si="23"/>
        <v>0</v>
      </c>
      <c r="P108" s="478">
        <f t="shared" si="24"/>
        <v>0</v>
      </c>
    </row>
    <row r="109" spans="1:16">
      <c r="B109" s="160" t="str">
        <f t="shared" si="21"/>
        <v/>
      </c>
      <c r="C109" s="472">
        <f>IF(D93="","-",+C108+1)</f>
        <v>2024</v>
      </c>
      <c r="D109" s="346">
        <f>IF(F108+SUM(E$99:E108)=D$92,F108,D$92-SUM(E$99:E108))</f>
        <v>1372247</v>
      </c>
      <c r="E109" s="484">
        <f t="shared" si="25"/>
        <v>41087</v>
      </c>
      <c r="F109" s="485">
        <f t="shared" si="26"/>
        <v>1331160</v>
      </c>
      <c r="G109" s="485">
        <f t="shared" si="27"/>
        <v>1351703.5</v>
      </c>
      <c r="H109" s="488">
        <f t="shared" si="28"/>
        <v>186815.83829702262</v>
      </c>
      <c r="I109" s="542">
        <f t="shared" si="29"/>
        <v>186815.83829702262</v>
      </c>
      <c r="J109" s="478">
        <f t="shared" si="22"/>
        <v>0</v>
      </c>
      <c r="K109" s="478"/>
      <c r="L109" s="487"/>
      <c r="M109" s="478">
        <f t="shared" si="30"/>
        <v>0</v>
      </c>
      <c r="N109" s="487"/>
      <c r="O109" s="478">
        <f t="shared" si="23"/>
        <v>0</v>
      </c>
      <c r="P109" s="478">
        <f t="shared" si="24"/>
        <v>0</v>
      </c>
    </row>
    <row r="110" spans="1:16">
      <c r="B110" s="160" t="str">
        <f t="shared" si="21"/>
        <v/>
      </c>
      <c r="C110" s="472">
        <f>IF(D93="","-",+C109+1)</f>
        <v>2025</v>
      </c>
      <c r="D110" s="346">
        <f>IF(F109+SUM(E$99:E109)=D$92,F109,D$92-SUM(E$99:E109))</f>
        <v>1331160</v>
      </c>
      <c r="E110" s="484">
        <f t="shared" si="25"/>
        <v>41087</v>
      </c>
      <c r="F110" s="485">
        <f t="shared" si="26"/>
        <v>1290073</v>
      </c>
      <c r="G110" s="485">
        <f t="shared" si="27"/>
        <v>1310616.5</v>
      </c>
      <c r="H110" s="488">
        <f t="shared" si="28"/>
        <v>182386.19764054005</v>
      </c>
      <c r="I110" s="542">
        <f t="shared" si="29"/>
        <v>182386.19764054005</v>
      </c>
      <c r="J110" s="478">
        <f t="shared" si="22"/>
        <v>0</v>
      </c>
      <c r="K110" s="478"/>
      <c r="L110" s="487"/>
      <c r="M110" s="478">
        <f t="shared" si="30"/>
        <v>0</v>
      </c>
      <c r="N110" s="487"/>
      <c r="O110" s="478">
        <f t="shared" si="23"/>
        <v>0</v>
      </c>
      <c r="P110" s="478">
        <f t="shared" si="24"/>
        <v>0</v>
      </c>
    </row>
    <row r="111" spans="1:16">
      <c r="B111" s="160" t="str">
        <f t="shared" si="21"/>
        <v/>
      </c>
      <c r="C111" s="472">
        <f>IF(D93="","-",+C110+1)</f>
        <v>2026</v>
      </c>
      <c r="D111" s="346">
        <f>IF(F110+SUM(E$99:E110)=D$92,F110,D$92-SUM(E$99:E110))</f>
        <v>1290073</v>
      </c>
      <c r="E111" s="484">
        <f t="shared" si="25"/>
        <v>41087</v>
      </c>
      <c r="F111" s="485">
        <f t="shared" si="26"/>
        <v>1248986</v>
      </c>
      <c r="G111" s="485">
        <f t="shared" si="27"/>
        <v>1269529.5</v>
      </c>
      <c r="H111" s="488">
        <f t="shared" si="28"/>
        <v>177956.5569840575</v>
      </c>
      <c r="I111" s="542">
        <f t="shared" si="29"/>
        <v>177956.5569840575</v>
      </c>
      <c r="J111" s="478">
        <f t="shared" si="22"/>
        <v>0</v>
      </c>
      <c r="K111" s="478"/>
      <c r="L111" s="487"/>
      <c r="M111" s="478">
        <f t="shared" si="30"/>
        <v>0</v>
      </c>
      <c r="N111" s="487"/>
      <c r="O111" s="478">
        <f t="shared" si="23"/>
        <v>0</v>
      </c>
      <c r="P111" s="478">
        <f t="shared" si="24"/>
        <v>0</v>
      </c>
    </row>
    <row r="112" spans="1:16">
      <c r="B112" s="160" t="str">
        <f t="shared" si="21"/>
        <v/>
      </c>
      <c r="C112" s="472">
        <f>IF(D93="","-",+C111+1)</f>
        <v>2027</v>
      </c>
      <c r="D112" s="346">
        <f>IF(F111+SUM(E$99:E111)=D$92,F111,D$92-SUM(E$99:E111))</f>
        <v>1248986</v>
      </c>
      <c r="E112" s="484">
        <f t="shared" si="25"/>
        <v>41087</v>
      </c>
      <c r="F112" s="485">
        <f t="shared" si="26"/>
        <v>1207899</v>
      </c>
      <c r="G112" s="485">
        <f t="shared" si="27"/>
        <v>1228442.5</v>
      </c>
      <c r="H112" s="488">
        <f t="shared" si="28"/>
        <v>173526.91632757493</v>
      </c>
      <c r="I112" s="542">
        <f t="shared" si="29"/>
        <v>173526.91632757493</v>
      </c>
      <c r="J112" s="478">
        <f t="shared" si="22"/>
        <v>0</v>
      </c>
      <c r="K112" s="478"/>
      <c r="L112" s="487"/>
      <c r="M112" s="478">
        <f t="shared" si="30"/>
        <v>0</v>
      </c>
      <c r="N112" s="487"/>
      <c r="O112" s="478">
        <f t="shared" si="23"/>
        <v>0</v>
      </c>
      <c r="P112" s="478">
        <f t="shared" si="24"/>
        <v>0</v>
      </c>
    </row>
    <row r="113" spans="2:16">
      <c r="B113" s="160" t="str">
        <f t="shared" si="21"/>
        <v/>
      </c>
      <c r="C113" s="472">
        <f>IF(D93="","-",+C112+1)</f>
        <v>2028</v>
      </c>
      <c r="D113" s="346">
        <f>IF(F112+SUM(E$99:E112)=D$92,F112,D$92-SUM(E$99:E112))</f>
        <v>1207899</v>
      </c>
      <c r="E113" s="484">
        <f t="shared" si="25"/>
        <v>41087</v>
      </c>
      <c r="F113" s="485">
        <f t="shared" si="26"/>
        <v>1166812</v>
      </c>
      <c r="G113" s="485">
        <f t="shared" si="27"/>
        <v>1187355.5</v>
      </c>
      <c r="H113" s="488">
        <f t="shared" si="28"/>
        <v>169097.27567109239</v>
      </c>
      <c r="I113" s="542">
        <f t="shared" si="29"/>
        <v>169097.27567109239</v>
      </c>
      <c r="J113" s="478">
        <f t="shared" si="22"/>
        <v>0</v>
      </c>
      <c r="K113" s="478"/>
      <c r="L113" s="487"/>
      <c r="M113" s="478">
        <f t="shared" si="30"/>
        <v>0</v>
      </c>
      <c r="N113" s="487"/>
      <c r="O113" s="478">
        <f t="shared" si="23"/>
        <v>0</v>
      </c>
      <c r="P113" s="478">
        <f t="shared" si="24"/>
        <v>0</v>
      </c>
    </row>
    <row r="114" spans="2:16">
      <c r="B114" s="160" t="str">
        <f t="shared" si="21"/>
        <v/>
      </c>
      <c r="C114" s="472">
        <f>IF(D93="","-",+C113+1)</f>
        <v>2029</v>
      </c>
      <c r="D114" s="346">
        <f>IF(F113+SUM(E$99:E113)=D$92,F113,D$92-SUM(E$99:E113))</f>
        <v>1166812</v>
      </c>
      <c r="E114" s="484">
        <f t="shared" si="25"/>
        <v>41087</v>
      </c>
      <c r="F114" s="485">
        <f t="shared" si="26"/>
        <v>1125725</v>
      </c>
      <c r="G114" s="485">
        <f t="shared" si="27"/>
        <v>1146268.5</v>
      </c>
      <c r="H114" s="488">
        <f t="shared" si="28"/>
        <v>164667.63501460984</v>
      </c>
      <c r="I114" s="542">
        <f t="shared" si="29"/>
        <v>164667.63501460984</v>
      </c>
      <c r="J114" s="478">
        <f t="shared" si="22"/>
        <v>0</v>
      </c>
      <c r="K114" s="478"/>
      <c r="L114" s="487"/>
      <c r="M114" s="478">
        <f t="shared" si="30"/>
        <v>0</v>
      </c>
      <c r="N114" s="487"/>
      <c r="O114" s="478">
        <f t="shared" si="23"/>
        <v>0</v>
      </c>
      <c r="P114" s="478">
        <f t="shared" si="24"/>
        <v>0</v>
      </c>
    </row>
    <row r="115" spans="2:16">
      <c r="B115" s="160" t="str">
        <f t="shared" si="21"/>
        <v/>
      </c>
      <c r="C115" s="472">
        <f>IF(D93="","-",+C114+1)</f>
        <v>2030</v>
      </c>
      <c r="D115" s="346">
        <f>IF(F114+SUM(E$99:E114)=D$92,F114,D$92-SUM(E$99:E114))</f>
        <v>1125725</v>
      </c>
      <c r="E115" s="484">
        <f t="shared" si="25"/>
        <v>41087</v>
      </c>
      <c r="F115" s="485">
        <f t="shared" si="26"/>
        <v>1084638</v>
      </c>
      <c r="G115" s="485">
        <f t="shared" si="27"/>
        <v>1105181.5</v>
      </c>
      <c r="H115" s="488">
        <f t="shared" si="28"/>
        <v>160237.9943581273</v>
      </c>
      <c r="I115" s="542">
        <f t="shared" si="29"/>
        <v>160237.9943581273</v>
      </c>
      <c r="J115" s="478">
        <f t="shared" si="22"/>
        <v>0</v>
      </c>
      <c r="K115" s="478"/>
      <c r="L115" s="487"/>
      <c r="M115" s="478">
        <f t="shared" si="30"/>
        <v>0</v>
      </c>
      <c r="N115" s="487"/>
      <c r="O115" s="478">
        <f t="shared" si="23"/>
        <v>0</v>
      </c>
      <c r="P115" s="478">
        <f t="shared" si="24"/>
        <v>0</v>
      </c>
    </row>
    <row r="116" spans="2:16">
      <c r="B116" s="160" t="str">
        <f t="shared" si="21"/>
        <v/>
      </c>
      <c r="C116" s="472">
        <f>IF(D93="","-",+C115+1)</f>
        <v>2031</v>
      </c>
      <c r="D116" s="346">
        <f>IF(F115+SUM(E$99:E115)=D$92,F115,D$92-SUM(E$99:E115))</f>
        <v>1084638</v>
      </c>
      <c r="E116" s="484">
        <f t="shared" si="25"/>
        <v>41087</v>
      </c>
      <c r="F116" s="485">
        <f t="shared" si="26"/>
        <v>1043551</v>
      </c>
      <c r="G116" s="485">
        <f t="shared" si="27"/>
        <v>1064094.5</v>
      </c>
      <c r="H116" s="488">
        <f t="shared" si="28"/>
        <v>155808.35370164472</v>
      </c>
      <c r="I116" s="542">
        <f t="shared" si="29"/>
        <v>155808.35370164472</v>
      </c>
      <c r="J116" s="478">
        <f t="shared" si="22"/>
        <v>0</v>
      </c>
      <c r="K116" s="478"/>
      <c r="L116" s="487"/>
      <c r="M116" s="478">
        <f t="shared" si="30"/>
        <v>0</v>
      </c>
      <c r="N116" s="487"/>
      <c r="O116" s="478">
        <f t="shared" si="23"/>
        <v>0</v>
      </c>
      <c r="P116" s="478">
        <f t="shared" si="24"/>
        <v>0</v>
      </c>
    </row>
    <row r="117" spans="2:16">
      <c r="B117" s="160" t="str">
        <f t="shared" si="21"/>
        <v/>
      </c>
      <c r="C117" s="472">
        <f>IF(D93="","-",+C116+1)</f>
        <v>2032</v>
      </c>
      <c r="D117" s="346">
        <f>IF(F116+SUM(E$99:E116)=D$92,F116,D$92-SUM(E$99:E116))</f>
        <v>1043551</v>
      </c>
      <c r="E117" s="484">
        <f t="shared" si="25"/>
        <v>41087</v>
      </c>
      <c r="F117" s="485">
        <f t="shared" si="26"/>
        <v>1002464</v>
      </c>
      <c r="G117" s="485">
        <f t="shared" si="27"/>
        <v>1023007.5</v>
      </c>
      <c r="H117" s="488">
        <f t="shared" si="28"/>
        <v>151378.71304516215</v>
      </c>
      <c r="I117" s="542">
        <f t="shared" si="29"/>
        <v>151378.71304516215</v>
      </c>
      <c r="J117" s="478">
        <f t="shared" si="22"/>
        <v>0</v>
      </c>
      <c r="K117" s="478"/>
      <c r="L117" s="487"/>
      <c r="M117" s="478">
        <f t="shared" si="30"/>
        <v>0</v>
      </c>
      <c r="N117" s="487"/>
      <c r="O117" s="478">
        <f t="shared" si="23"/>
        <v>0</v>
      </c>
      <c r="P117" s="478">
        <f t="shared" si="24"/>
        <v>0</v>
      </c>
    </row>
    <row r="118" spans="2:16">
      <c r="B118" s="160" t="str">
        <f t="shared" si="21"/>
        <v/>
      </c>
      <c r="C118" s="472">
        <f>IF(D93="","-",+C117+1)</f>
        <v>2033</v>
      </c>
      <c r="D118" s="346">
        <f>IF(F117+SUM(E$99:E117)=D$92,F117,D$92-SUM(E$99:E117))</f>
        <v>1002464</v>
      </c>
      <c r="E118" s="484">
        <f t="shared" si="25"/>
        <v>41087</v>
      </c>
      <c r="F118" s="485">
        <f t="shared" si="26"/>
        <v>961377</v>
      </c>
      <c r="G118" s="485">
        <f t="shared" si="27"/>
        <v>981920.5</v>
      </c>
      <c r="H118" s="488">
        <f t="shared" si="28"/>
        <v>146949.0723886796</v>
      </c>
      <c r="I118" s="542">
        <f t="shared" si="29"/>
        <v>146949.0723886796</v>
      </c>
      <c r="J118" s="478">
        <f t="shared" si="22"/>
        <v>0</v>
      </c>
      <c r="K118" s="478"/>
      <c r="L118" s="487"/>
      <c r="M118" s="478">
        <f t="shared" si="30"/>
        <v>0</v>
      </c>
      <c r="N118" s="487"/>
      <c r="O118" s="478">
        <f t="shared" si="23"/>
        <v>0</v>
      </c>
      <c r="P118" s="478">
        <f t="shared" si="24"/>
        <v>0</v>
      </c>
    </row>
    <row r="119" spans="2:16">
      <c r="B119" s="160" t="str">
        <f t="shared" si="21"/>
        <v/>
      </c>
      <c r="C119" s="472">
        <f>IF(D93="","-",+C118+1)</f>
        <v>2034</v>
      </c>
      <c r="D119" s="346">
        <f>IF(F118+SUM(E$99:E118)=D$92,F118,D$92-SUM(E$99:E118))</f>
        <v>961377</v>
      </c>
      <c r="E119" s="484">
        <f t="shared" si="25"/>
        <v>41087</v>
      </c>
      <c r="F119" s="485">
        <f t="shared" si="26"/>
        <v>920290</v>
      </c>
      <c r="G119" s="485">
        <f t="shared" si="27"/>
        <v>940833.5</v>
      </c>
      <c r="H119" s="488">
        <f t="shared" si="28"/>
        <v>142519.43173219706</v>
      </c>
      <c r="I119" s="542">
        <f t="shared" si="29"/>
        <v>142519.43173219706</v>
      </c>
      <c r="J119" s="478">
        <f t="shared" si="22"/>
        <v>0</v>
      </c>
      <c r="K119" s="478"/>
      <c r="L119" s="487"/>
      <c r="M119" s="478">
        <f t="shared" si="30"/>
        <v>0</v>
      </c>
      <c r="N119" s="487"/>
      <c r="O119" s="478">
        <f t="shared" si="23"/>
        <v>0</v>
      </c>
      <c r="P119" s="478">
        <f t="shared" si="24"/>
        <v>0</v>
      </c>
    </row>
    <row r="120" spans="2:16">
      <c r="B120" s="160" t="str">
        <f t="shared" si="21"/>
        <v/>
      </c>
      <c r="C120" s="472">
        <f>IF(D93="","-",+C119+1)</f>
        <v>2035</v>
      </c>
      <c r="D120" s="346">
        <f>IF(F119+SUM(E$99:E119)=D$92,F119,D$92-SUM(E$99:E119))</f>
        <v>920290</v>
      </c>
      <c r="E120" s="484">
        <f t="shared" si="25"/>
        <v>41087</v>
      </c>
      <c r="F120" s="485">
        <f t="shared" si="26"/>
        <v>879203</v>
      </c>
      <c r="G120" s="485">
        <f t="shared" si="27"/>
        <v>899746.5</v>
      </c>
      <c r="H120" s="488">
        <f t="shared" si="28"/>
        <v>138089.79107571451</v>
      </c>
      <c r="I120" s="542">
        <f t="shared" si="29"/>
        <v>138089.79107571451</v>
      </c>
      <c r="J120" s="478">
        <f t="shared" si="22"/>
        <v>0</v>
      </c>
      <c r="K120" s="478"/>
      <c r="L120" s="487"/>
      <c r="M120" s="478">
        <f t="shared" si="30"/>
        <v>0</v>
      </c>
      <c r="N120" s="487"/>
      <c r="O120" s="478">
        <f t="shared" si="23"/>
        <v>0</v>
      </c>
      <c r="P120" s="478">
        <f t="shared" si="24"/>
        <v>0</v>
      </c>
    </row>
    <row r="121" spans="2:16">
      <c r="B121" s="160" t="str">
        <f t="shared" si="21"/>
        <v/>
      </c>
      <c r="C121" s="472">
        <f>IF(D93="","-",+C120+1)</f>
        <v>2036</v>
      </c>
      <c r="D121" s="346">
        <f>IF(F120+SUM(E$99:E120)=D$92,F120,D$92-SUM(E$99:E120))</f>
        <v>879203</v>
      </c>
      <c r="E121" s="484">
        <f t="shared" si="25"/>
        <v>41087</v>
      </c>
      <c r="F121" s="485">
        <f t="shared" si="26"/>
        <v>838116</v>
      </c>
      <c r="G121" s="485">
        <f t="shared" si="27"/>
        <v>858659.5</v>
      </c>
      <c r="H121" s="488">
        <f t="shared" si="28"/>
        <v>133660.15041923194</v>
      </c>
      <c r="I121" s="542">
        <f t="shared" si="29"/>
        <v>133660.15041923194</v>
      </c>
      <c r="J121" s="478">
        <f t="shared" si="22"/>
        <v>0</v>
      </c>
      <c r="K121" s="478"/>
      <c r="L121" s="487"/>
      <c r="M121" s="478">
        <f t="shared" si="30"/>
        <v>0</v>
      </c>
      <c r="N121" s="487"/>
      <c r="O121" s="478">
        <f t="shared" si="23"/>
        <v>0</v>
      </c>
      <c r="P121" s="478">
        <f t="shared" si="24"/>
        <v>0</v>
      </c>
    </row>
    <row r="122" spans="2:16">
      <c r="B122" s="160" t="str">
        <f t="shared" si="21"/>
        <v/>
      </c>
      <c r="C122" s="472">
        <f>IF(D93="","-",+C121+1)</f>
        <v>2037</v>
      </c>
      <c r="D122" s="346">
        <f>IF(F121+SUM(E$99:E121)=D$92,F121,D$92-SUM(E$99:E121))</f>
        <v>838116</v>
      </c>
      <c r="E122" s="484">
        <f t="shared" si="25"/>
        <v>41087</v>
      </c>
      <c r="F122" s="485">
        <f t="shared" si="26"/>
        <v>797029</v>
      </c>
      <c r="G122" s="485">
        <f t="shared" si="27"/>
        <v>817572.5</v>
      </c>
      <c r="H122" s="488">
        <f t="shared" si="28"/>
        <v>129230.5097627494</v>
      </c>
      <c r="I122" s="542">
        <f t="shared" si="29"/>
        <v>129230.5097627494</v>
      </c>
      <c r="J122" s="478">
        <f t="shared" si="22"/>
        <v>0</v>
      </c>
      <c r="K122" s="478"/>
      <c r="L122" s="487"/>
      <c r="M122" s="478">
        <f t="shared" si="30"/>
        <v>0</v>
      </c>
      <c r="N122" s="487"/>
      <c r="O122" s="478">
        <f t="shared" si="23"/>
        <v>0</v>
      </c>
      <c r="P122" s="478">
        <f t="shared" si="24"/>
        <v>0</v>
      </c>
    </row>
    <row r="123" spans="2:16">
      <c r="B123" s="160" t="str">
        <f t="shared" si="21"/>
        <v/>
      </c>
      <c r="C123" s="472">
        <f>IF(D93="","-",+C122+1)</f>
        <v>2038</v>
      </c>
      <c r="D123" s="346">
        <f>IF(F122+SUM(E$99:E122)=D$92,F122,D$92-SUM(E$99:E122))</f>
        <v>797029</v>
      </c>
      <c r="E123" s="484">
        <f t="shared" si="25"/>
        <v>41087</v>
      </c>
      <c r="F123" s="485">
        <f t="shared" si="26"/>
        <v>755942</v>
      </c>
      <c r="G123" s="485">
        <f t="shared" si="27"/>
        <v>776485.5</v>
      </c>
      <c r="H123" s="488">
        <f t="shared" si="28"/>
        <v>124800.86910626684</v>
      </c>
      <c r="I123" s="542">
        <f t="shared" si="29"/>
        <v>124800.86910626684</v>
      </c>
      <c r="J123" s="478">
        <f t="shared" si="22"/>
        <v>0</v>
      </c>
      <c r="K123" s="478"/>
      <c r="L123" s="487"/>
      <c r="M123" s="478">
        <f t="shared" si="30"/>
        <v>0</v>
      </c>
      <c r="N123" s="487"/>
      <c r="O123" s="478">
        <f t="shared" si="23"/>
        <v>0</v>
      </c>
      <c r="P123" s="478">
        <f t="shared" si="24"/>
        <v>0</v>
      </c>
    </row>
    <row r="124" spans="2:16">
      <c r="B124" s="160" t="str">
        <f t="shared" si="21"/>
        <v/>
      </c>
      <c r="C124" s="472">
        <f>IF(D93="","-",+C123+1)</f>
        <v>2039</v>
      </c>
      <c r="D124" s="346">
        <f>IF(F123+SUM(E$99:E123)=D$92,F123,D$92-SUM(E$99:E123))</f>
        <v>755942</v>
      </c>
      <c r="E124" s="484">
        <f t="shared" si="25"/>
        <v>41087</v>
      </c>
      <c r="F124" s="485">
        <f t="shared" si="26"/>
        <v>714855</v>
      </c>
      <c r="G124" s="485">
        <f t="shared" si="27"/>
        <v>735398.5</v>
      </c>
      <c r="H124" s="488">
        <f t="shared" si="28"/>
        <v>120371.22844978428</v>
      </c>
      <c r="I124" s="542">
        <f t="shared" si="29"/>
        <v>120371.22844978428</v>
      </c>
      <c r="J124" s="478">
        <f t="shared" si="22"/>
        <v>0</v>
      </c>
      <c r="K124" s="478"/>
      <c r="L124" s="487"/>
      <c r="M124" s="478">
        <f t="shared" si="30"/>
        <v>0</v>
      </c>
      <c r="N124" s="487"/>
      <c r="O124" s="478">
        <f t="shared" si="23"/>
        <v>0</v>
      </c>
      <c r="P124" s="478">
        <f t="shared" si="24"/>
        <v>0</v>
      </c>
    </row>
    <row r="125" spans="2:16">
      <c r="B125" s="160" t="str">
        <f t="shared" si="21"/>
        <v/>
      </c>
      <c r="C125" s="472">
        <f>IF(D93="","-",+C124+1)</f>
        <v>2040</v>
      </c>
      <c r="D125" s="346">
        <f>IF(F124+SUM(E$99:E124)=D$92,F124,D$92-SUM(E$99:E124))</f>
        <v>714855</v>
      </c>
      <c r="E125" s="484">
        <f t="shared" si="25"/>
        <v>41087</v>
      </c>
      <c r="F125" s="485">
        <f t="shared" si="26"/>
        <v>673768</v>
      </c>
      <c r="G125" s="485">
        <f t="shared" si="27"/>
        <v>694311.5</v>
      </c>
      <c r="H125" s="488">
        <f t="shared" si="28"/>
        <v>115941.58779330172</v>
      </c>
      <c r="I125" s="542">
        <f t="shared" si="29"/>
        <v>115941.58779330172</v>
      </c>
      <c r="J125" s="478">
        <f t="shared" si="22"/>
        <v>0</v>
      </c>
      <c r="K125" s="478"/>
      <c r="L125" s="487"/>
      <c r="M125" s="478">
        <f t="shared" si="30"/>
        <v>0</v>
      </c>
      <c r="N125" s="487"/>
      <c r="O125" s="478">
        <f t="shared" si="23"/>
        <v>0</v>
      </c>
      <c r="P125" s="478">
        <f t="shared" si="24"/>
        <v>0</v>
      </c>
    </row>
    <row r="126" spans="2:16">
      <c r="B126" s="160" t="str">
        <f t="shared" si="21"/>
        <v/>
      </c>
      <c r="C126" s="472">
        <f>IF(D93="","-",+C125+1)</f>
        <v>2041</v>
      </c>
      <c r="D126" s="346">
        <f>IF(F125+SUM(E$99:E125)=D$92,F125,D$92-SUM(E$99:E125))</f>
        <v>673768</v>
      </c>
      <c r="E126" s="484">
        <f t="shared" si="25"/>
        <v>41087</v>
      </c>
      <c r="F126" s="485">
        <f t="shared" si="26"/>
        <v>632681</v>
      </c>
      <c r="G126" s="485">
        <f t="shared" si="27"/>
        <v>653224.5</v>
      </c>
      <c r="H126" s="488">
        <f t="shared" si="28"/>
        <v>111511.94713681917</v>
      </c>
      <c r="I126" s="542">
        <f t="shared" si="29"/>
        <v>111511.94713681917</v>
      </c>
      <c r="J126" s="478">
        <f t="shared" si="22"/>
        <v>0</v>
      </c>
      <c r="K126" s="478"/>
      <c r="L126" s="487"/>
      <c r="M126" s="478">
        <f t="shared" si="30"/>
        <v>0</v>
      </c>
      <c r="N126" s="487"/>
      <c r="O126" s="478">
        <f t="shared" si="23"/>
        <v>0</v>
      </c>
      <c r="P126" s="478">
        <f t="shared" si="24"/>
        <v>0</v>
      </c>
    </row>
    <row r="127" spans="2:16">
      <c r="B127" s="160" t="str">
        <f t="shared" si="21"/>
        <v/>
      </c>
      <c r="C127" s="472">
        <f>IF(D93="","-",+C126+1)</f>
        <v>2042</v>
      </c>
      <c r="D127" s="346">
        <f>IF(F126+SUM(E$99:E126)=D$92,F126,D$92-SUM(E$99:E126))</f>
        <v>632681</v>
      </c>
      <c r="E127" s="484">
        <f t="shared" si="25"/>
        <v>41087</v>
      </c>
      <c r="F127" s="485">
        <f t="shared" si="26"/>
        <v>591594</v>
      </c>
      <c r="G127" s="485">
        <f t="shared" si="27"/>
        <v>612137.5</v>
      </c>
      <c r="H127" s="488">
        <f t="shared" si="28"/>
        <v>107082.30648033661</v>
      </c>
      <c r="I127" s="542">
        <f t="shared" si="29"/>
        <v>107082.30648033661</v>
      </c>
      <c r="J127" s="478">
        <f t="shared" si="22"/>
        <v>0</v>
      </c>
      <c r="K127" s="478"/>
      <c r="L127" s="487"/>
      <c r="M127" s="478">
        <f t="shared" si="30"/>
        <v>0</v>
      </c>
      <c r="N127" s="487"/>
      <c r="O127" s="478">
        <f t="shared" si="23"/>
        <v>0</v>
      </c>
      <c r="P127" s="478">
        <f t="shared" si="24"/>
        <v>0</v>
      </c>
    </row>
    <row r="128" spans="2:16">
      <c r="B128" s="160" t="str">
        <f t="shared" si="21"/>
        <v/>
      </c>
      <c r="C128" s="472">
        <f>IF(D93="","-",+C127+1)</f>
        <v>2043</v>
      </c>
      <c r="D128" s="346">
        <f>IF(F127+SUM(E$99:E127)=D$92,F127,D$92-SUM(E$99:E127))</f>
        <v>591594</v>
      </c>
      <c r="E128" s="484">
        <f t="shared" si="25"/>
        <v>41087</v>
      </c>
      <c r="F128" s="485">
        <f t="shared" si="26"/>
        <v>550507</v>
      </c>
      <c r="G128" s="485">
        <f t="shared" si="27"/>
        <v>571050.5</v>
      </c>
      <c r="H128" s="488">
        <f t="shared" si="28"/>
        <v>102652.66582385405</v>
      </c>
      <c r="I128" s="542">
        <f t="shared" si="29"/>
        <v>102652.66582385405</v>
      </c>
      <c r="J128" s="478">
        <f t="shared" si="22"/>
        <v>0</v>
      </c>
      <c r="K128" s="478"/>
      <c r="L128" s="487"/>
      <c r="M128" s="478">
        <f t="shared" si="30"/>
        <v>0</v>
      </c>
      <c r="N128" s="487"/>
      <c r="O128" s="478">
        <f t="shared" si="23"/>
        <v>0</v>
      </c>
      <c r="P128" s="478">
        <f t="shared" si="24"/>
        <v>0</v>
      </c>
    </row>
    <row r="129" spans="2:16">
      <c r="B129" s="160" t="str">
        <f t="shared" si="21"/>
        <v/>
      </c>
      <c r="C129" s="472">
        <f>IF(D93="","-",+C128+1)</f>
        <v>2044</v>
      </c>
      <c r="D129" s="346">
        <f>IF(F128+SUM(E$99:E128)=D$92,F128,D$92-SUM(E$99:E128))</f>
        <v>550507</v>
      </c>
      <c r="E129" s="484">
        <f t="shared" si="25"/>
        <v>41087</v>
      </c>
      <c r="F129" s="485">
        <f t="shared" si="26"/>
        <v>509420</v>
      </c>
      <c r="G129" s="485">
        <f t="shared" si="27"/>
        <v>529963.5</v>
      </c>
      <c r="H129" s="488">
        <f t="shared" si="28"/>
        <v>98223.025167371496</v>
      </c>
      <c r="I129" s="542">
        <f t="shared" si="29"/>
        <v>98223.025167371496</v>
      </c>
      <c r="J129" s="478">
        <f t="shared" si="22"/>
        <v>0</v>
      </c>
      <c r="K129" s="478"/>
      <c r="L129" s="487"/>
      <c r="M129" s="478">
        <f t="shared" si="30"/>
        <v>0</v>
      </c>
      <c r="N129" s="487"/>
      <c r="O129" s="478">
        <f t="shared" si="23"/>
        <v>0</v>
      </c>
      <c r="P129" s="478">
        <f t="shared" si="24"/>
        <v>0</v>
      </c>
    </row>
    <row r="130" spans="2:16">
      <c r="B130" s="160" t="str">
        <f t="shared" si="21"/>
        <v/>
      </c>
      <c r="C130" s="472">
        <f>IF(D93="","-",+C129+1)</f>
        <v>2045</v>
      </c>
      <c r="D130" s="346">
        <f>IF(F129+SUM(E$99:E129)=D$92,F129,D$92-SUM(E$99:E129))</f>
        <v>509420</v>
      </c>
      <c r="E130" s="484">
        <f t="shared" si="25"/>
        <v>41087</v>
      </c>
      <c r="F130" s="485">
        <f t="shared" si="26"/>
        <v>468333</v>
      </c>
      <c r="G130" s="485">
        <f t="shared" si="27"/>
        <v>488876.5</v>
      </c>
      <c r="H130" s="488">
        <f t="shared" si="28"/>
        <v>93793.384510888951</v>
      </c>
      <c r="I130" s="542">
        <f t="shared" si="29"/>
        <v>93793.384510888951</v>
      </c>
      <c r="J130" s="478">
        <f t="shared" si="22"/>
        <v>0</v>
      </c>
      <c r="K130" s="478"/>
      <c r="L130" s="487"/>
      <c r="M130" s="478">
        <f t="shared" si="30"/>
        <v>0</v>
      </c>
      <c r="N130" s="487"/>
      <c r="O130" s="478">
        <f t="shared" si="23"/>
        <v>0</v>
      </c>
      <c r="P130" s="478">
        <f t="shared" si="24"/>
        <v>0</v>
      </c>
    </row>
    <row r="131" spans="2:16">
      <c r="B131" s="160" t="str">
        <f t="shared" si="21"/>
        <v/>
      </c>
      <c r="C131" s="472">
        <f>IF(D93="","-",+C130+1)</f>
        <v>2046</v>
      </c>
      <c r="D131" s="346">
        <f>IF(F130+SUM(E$99:E130)=D$92,F130,D$92-SUM(E$99:E130))</f>
        <v>468333</v>
      </c>
      <c r="E131" s="484">
        <f t="shared" si="25"/>
        <v>41087</v>
      </c>
      <c r="F131" s="485">
        <f t="shared" si="26"/>
        <v>427246</v>
      </c>
      <c r="G131" s="485">
        <f t="shared" si="27"/>
        <v>447789.5</v>
      </c>
      <c r="H131" s="488">
        <f t="shared" si="28"/>
        <v>89363.743854406392</v>
      </c>
      <c r="I131" s="542">
        <f t="shared" si="29"/>
        <v>89363.743854406392</v>
      </c>
      <c r="J131" s="478">
        <f t="shared" si="22"/>
        <v>0</v>
      </c>
      <c r="K131" s="478"/>
      <c r="L131" s="487"/>
      <c r="M131" s="478">
        <f t="shared" ref="M131:M154" si="31">IF(L541&lt;&gt;0,+H541-L541,0)</f>
        <v>0</v>
      </c>
      <c r="N131" s="487"/>
      <c r="O131" s="478">
        <f t="shared" ref="O131:O154" si="32">IF(N541&lt;&gt;0,+I541-N541,0)</f>
        <v>0</v>
      </c>
      <c r="P131" s="478">
        <f t="shared" ref="P131:P154" si="33">+O541-M541</f>
        <v>0</v>
      </c>
    </row>
    <row r="132" spans="2:16">
      <c r="B132" s="160" t="str">
        <f t="shared" si="21"/>
        <v/>
      </c>
      <c r="C132" s="472">
        <f>IF(D93="","-",+C131+1)</f>
        <v>2047</v>
      </c>
      <c r="D132" s="346">
        <f>IF(F131+SUM(E$99:E131)=D$92,F131,D$92-SUM(E$99:E131))</f>
        <v>427246</v>
      </c>
      <c r="E132" s="484">
        <f t="shared" si="25"/>
        <v>41087</v>
      </c>
      <c r="F132" s="485">
        <f t="shared" si="26"/>
        <v>386159</v>
      </c>
      <c r="G132" s="485">
        <f t="shared" si="27"/>
        <v>406702.5</v>
      </c>
      <c r="H132" s="488">
        <f t="shared" si="28"/>
        <v>84934.103197923832</v>
      </c>
      <c r="I132" s="542">
        <f t="shared" si="29"/>
        <v>84934.103197923832</v>
      </c>
      <c r="J132" s="478">
        <f t="shared" si="22"/>
        <v>0</v>
      </c>
      <c r="K132" s="478"/>
      <c r="L132" s="487"/>
      <c r="M132" s="478">
        <f t="shared" si="31"/>
        <v>0</v>
      </c>
      <c r="N132" s="487"/>
      <c r="O132" s="478">
        <f t="shared" si="32"/>
        <v>0</v>
      </c>
      <c r="P132" s="478">
        <f t="shared" si="33"/>
        <v>0</v>
      </c>
    </row>
    <row r="133" spans="2:16">
      <c r="B133" s="160" t="str">
        <f t="shared" si="21"/>
        <v/>
      </c>
      <c r="C133" s="472">
        <f>IF(D93="","-",+C132+1)</f>
        <v>2048</v>
      </c>
      <c r="D133" s="346">
        <f>IF(F132+SUM(E$99:E132)=D$92,F132,D$92-SUM(E$99:E132))</f>
        <v>386159</v>
      </c>
      <c r="E133" s="484">
        <f t="shared" si="25"/>
        <v>41087</v>
      </c>
      <c r="F133" s="485">
        <f t="shared" si="26"/>
        <v>345072</v>
      </c>
      <c r="G133" s="485">
        <f t="shared" si="27"/>
        <v>365615.5</v>
      </c>
      <c r="H133" s="488">
        <f t="shared" si="28"/>
        <v>80504.462541441288</v>
      </c>
      <c r="I133" s="542">
        <f t="shared" si="29"/>
        <v>80504.462541441288</v>
      </c>
      <c r="J133" s="478">
        <f t="shared" si="22"/>
        <v>0</v>
      </c>
      <c r="K133" s="478"/>
      <c r="L133" s="487"/>
      <c r="M133" s="478">
        <f t="shared" si="31"/>
        <v>0</v>
      </c>
      <c r="N133" s="487"/>
      <c r="O133" s="478">
        <f t="shared" si="32"/>
        <v>0</v>
      </c>
      <c r="P133" s="478">
        <f t="shared" si="33"/>
        <v>0</v>
      </c>
    </row>
    <row r="134" spans="2:16">
      <c r="B134" s="160" t="str">
        <f t="shared" si="21"/>
        <v/>
      </c>
      <c r="C134" s="472">
        <f>IF(D93="","-",+C133+1)</f>
        <v>2049</v>
      </c>
      <c r="D134" s="346">
        <f>IF(F133+SUM(E$99:E133)=D$92,F133,D$92-SUM(E$99:E133))</f>
        <v>345072</v>
      </c>
      <c r="E134" s="484">
        <f t="shared" si="25"/>
        <v>41087</v>
      </c>
      <c r="F134" s="485">
        <f t="shared" si="26"/>
        <v>303985</v>
      </c>
      <c r="G134" s="485">
        <f t="shared" si="27"/>
        <v>324528.5</v>
      </c>
      <c r="H134" s="488">
        <f t="shared" si="28"/>
        <v>76074.821884958714</v>
      </c>
      <c r="I134" s="542">
        <f t="shared" si="29"/>
        <v>76074.821884958714</v>
      </c>
      <c r="J134" s="478">
        <f t="shared" si="22"/>
        <v>0</v>
      </c>
      <c r="K134" s="478"/>
      <c r="L134" s="487"/>
      <c r="M134" s="478">
        <f t="shared" si="31"/>
        <v>0</v>
      </c>
      <c r="N134" s="487"/>
      <c r="O134" s="478">
        <f t="shared" si="32"/>
        <v>0</v>
      </c>
      <c r="P134" s="478">
        <f t="shared" si="33"/>
        <v>0</v>
      </c>
    </row>
    <row r="135" spans="2:16">
      <c r="B135" s="160" t="str">
        <f t="shared" si="21"/>
        <v/>
      </c>
      <c r="C135" s="472">
        <f>IF(D93="","-",+C134+1)</f>
        <v>2050</v>
      </c>
      <c r="D135" s="346">
        <f>IF(F134+SUM(E$99:E134)=D$92,F134,D$92-SUM(E$99:E134))</f>
        <v>303985</v>
      </c>
      <c r="E135" s="484">
        <f t="shared" si="25"/>
        <v>41087</v>
      </c>
      <c r="F135" s="485">
        <f t="shared" si="26"/>
        <v>262898</v>
      </c>
      <c r="G135" s="485">
        <f t="shared" si="27"/>
        <v>283441.5</v>
      </c>
      <c r="H135" s="488">
        <f t="shared" si="28"/>
        <v>71645.181228476169</v>
      </c>
      <c r="I135" s="542">
        <f t="shared" si="29"/>
        <v>71645.181228476169</v>
      </c>
      <c r="J135" s="478">
        <f t="shared" si="22"/>
        <v>0</v>
      </c>
      <c r="K135" s="478"/>
      <c r="L135" s="487"/>
      <c r="M135" s="478">
        <f t="shared" si="31"/>
        <v>0</v>
      </c>
      <c r="N135" s="487"/>
      <c r="O135" s="478">
        <f t="shared" si="32"/>
        <v>0</v>
      </c>
      <c r="P135" s="478">
        <f t="shared" si="33"/>
        <v>0</v>
      </c>
    </row>
    <row r="136" spans="2:16">
      <c r="B136" s="160" t="str">
        <f t="shared" si="21"/>
        <v/>
      </c>
      <c r="C136" s="472">
        <f>IF(D93="","-",+C135+1)</f>
        <v>2051</v>
      </c>
      <c r="D136" s="346">
        <f>IF(F135+SUM(E$99:E135)=D$92,F135,D$92-SUM(E$99:E135))</f>
        <v>262898</v>
      </c>
      <c r="E136" s="484">
        <f t="shared" si="25"/>
        <v>41087</v>
      </c>
      <c r="F136" s="485">
        <f t="shared" si="26"/>
        <v>221811</v>
      </c>
      <c r="G136" s="485">
        <f t="shared" si="27"/>
        <v>242354.5</v>
      </c>
      <c r="H136" s="488">
        <f t="shared" si="28"/>
        <v>67215.54057199361</v>
      </c>
      <c r="I136" s="542">
        <f t="shared" si="29"/>
        <v>67215.54057199361</v>
      </c>
      <c r="J136" s="478">
        <f t="shared" si="22"/>
        <v>0</v>
      </c>
      <c r="K136" s="478"/>
      <c r="L136" s="487"/>
      <c r="M136" s="478">
        <f t="shared" si="31"/>
        <v>0</v>
      </c>
      <c r="N136" s="487"/>
      <c r="O136" s="478">
        <f t="shared" si="32"/>
        <v>0</v>
      </c>
      <c r="P136" s="478">
        <f t="shared" si="33"/>
        <v>0</v>
      </c>
    </row>
    <row r="137" spans="2:16">
      <c r="B137" s="160" t="str">
        <f t="shared" si="21"/>
        <v/>
      </c>
      <c r="C137" s="472">
        <f>IF(D93="","-",+C136+1)</f>
        <v>2052</v>
      </c>
      <c r="D137" s="346">
        <f>IF(F136+SUM(E$99:E136)=D$92,F136,D$92-SUM(E$99:E136))</f>
        <v>221811</v>
      </c>
      <c r="E137" s="484">
        <f t="shared" si="25"/>
        <v>41087</v>
      </c>
      <c r="F137" s="485">
        <f t="shared" si="26"/>
        <v>180724</v>
      </c>
      <c r="G137" s="485">
        <f t="shared" si="27"/>
        <v>201267.5</v>
      </c>
      <c r="H137" s="488">
        <f t="shared" si="28"/>
        <v>62785.89991551105</v>
      </c>
      <c r="I137" s="542">
        <f t="shared" si="29"/>
        <v>62785.89991551105</v>
      </c>
      <c r="J137" s="478">
        <f t="shared" si="22"/>
        <v>0</v>
      </c>
      <c r="K137" s="478"/>
      <c r="L137" s="487"/>
      <c r="M137" s="478">
        <f t="shared" si="31"/>
        <v>0</v>
      </c>
      <c r="N137" s="487"/>
      <c r="O137" s="478">
        <f t="shared" si="32"/>
        <v>0</v>
      </c>
      <c r="P137" s="478">
        <f t="shared" si="33"/>
        <v>0</v>
      </c>
    </row>
    <row r="138" spans="2:16">
      <c r="B138" s="160" t="str">
        <f t="shared" si="21"/>
        <v/>
      </c>
      <c r="C138" s="472">
        <f>IF(D93="","-",+C137+1)</f>
        <v>2053</v>
      </c>
      <c r="D138" s="346">
        <f>IF(F137+SUM(E$99:E137)=D$92,F137,D$92-SUM(E$99:E137))</f>
        <v>180724</v>
      </c>
      <c r="E138" s="484">
        <f t="shared" si="25"/>
        <v>41087</v>
      </c>
      <c r="F138" s="485">
        <f t="shared" si="26"/>
        <v>139637</v>
      </c>
      <c r="G138" s="485">
        <f t="shared" si="27"/>
        <v>160180.5</v>
      </c>
      <c r="H138" s="488">
        <f t="shared" si="28"/>
        <v>58356.259259028498</v>
      </c>
      <c r="I138" s="542">
        <f t="shared" si="29"/>
        <v>58356.259259028498</v>
      </c>
      <c r="J138" s="478">
        <f t="shared" si="22"/>
        <v>0</v>
      </c>
      <c r="K138" s="478"/>
      <c r="L138" s="487"/>
      <c r="M138" s="478">
        <f t="shared" si="31"/>
        <v>0</v>
      </c>
      <c r="N138" s="487"/>
      <c r="O138" s="478">
        <f t="shared" si="32"/>
        <v>0</v>
      </c>
      <c r="P138" s="478">
        <f t="shared" si="33"/>
        <v>0</v>
      </c>
    </row>
    <row r="139" spans="2:16">
      <c r="B139" s="160" t="str">
        <f t="shared" si="21"/>
        <v/>
      </c>
      <c r="C139" s="472">
        <f>IF(D93="","-",+C138+1)</f>
        <v>2054</v>
      </c>
      <c r="D139" s="346">
        <f>IF(F138+SUM(E$99:E138)=D$92,F138,D$92-SUM(E$99:E138))</f>
        <v>139637</v>
      </c>
      <c r="E139" s="484">
        <f t="shared" si="25"/>
        <v>41087</v>
      </c>
      <c r="F139" s="485">
        <f t="shared" si="26"/>
        <v>98550</v>
      </c>
      <c r="G139" s="485">
        <f t="shared" si="27"/>
        <v>119093.5</v>
      </c>
      <c r="H139" s="488">
        <f t="shared" si="28"/>
        <v>53926.618602545946</v>
      </c>
      <c r="I139" s="542">
        <f t="shared" si="29"/>
        <v>53926.618602545946</v>
      </c>
      <c r="J139" s="478">
        <f t="shared" si="22"/>
        <v>0</v>
      </c>
      <c r="K139" s="478"/>
      <c r="L139" s="487"/>
      <c r="M139" s="478">
        <f t="shared" si="31"/>
        <v>0</v>
      </c>
      <c r="N139" s="487"/>
      <c r="O139" s="478">
        <f t="shared" si="32"/>
        <v>0</v>
      </c>
      <c r="P139" s="478">
        <f t="shared" si="33"/>
        <v>0</v>
      </c>
    </row>
    <row r="140" spans="2:16">
      <c r="B140" s="160" t="str">
        <f t="shared" si="21"/>
        <v/>
      </c>
      <c r="C140" s="472">
        <f>IF(D93="","-",+C139+1)</f>
        <v>2055</v>
      </c>
      <c r="D140" s="346">
        <f>IF(F139+SUM(E$99:E139)=D$92,F139,D$92-SUM(E$99:E139))</f>
        <v>98550</v>
      </c>
      <c r="E140" s="484">
        <f t="shared" si="25"/>
        <v>41087</v>
      </c>
      <c r="F140" s="485">
        <f t="shared" si="26"/>
        <v>57463</v>
      </c>
      <c r="G140" s="485">
        <f t="shared" si="27"/>
        <v>78006.5</v>
      </c>
      <c r="H140" s="488">
        <f t="shared" si="28"/>
        <v>49496.977946063387</v>
      </c>
      <c r="I140" s="542">
        <f t="shared" si="29"/>
        <v>49496.977946063387</v>
      </c>
      <c r="J140" s="478">
        <f t="shared" si="22"/>
        <v>0</v>
      </c>
      <c r="K140" s="478"/>
      <c r="L140" s="487"/>
      <c r="M140" s="478">
        <f t="shared" si="31"/>
        <v>0</v>
      </c>
      <c r="N140" s="487"/>
      <c r="O140" s="478">
        <f t="shared" si="32"/>
        <v>0</v>
      </c>
      <c r="P140" s="478">
        <f t="shared" si="33"/>
        <v>0</v>
      </c>
    </row>
    <row r="141" spans="2:16">
      <c r="B141" s="160" t="str">
        <f t="shared" si="21"/>
        <v/>
      </c>
      <c r="C141" s="472">
        <f>IF(D93="","-",+C140+1)</f>
        <v>2056</v>
      </c>
      <c r="D141" s="346">
        <f>IF(F140+SUM(E$99:E140)=D$92,F140,D$92-SUM(E$99:E140))</f>
        <v>57463</v>
      </c>
      <c r="E141" s="484">
        <f t="shared" si="25"/>
        <v>41087</v>
      </c>
      <c r="F141" s="485">
        <f t="shared" si="26"/>
        <v>16376</v>
      </c>
      <c r="G141" s="485">
        <f t="shared" si="27"/>
        <v>36919.5</v>
      </c>
      <c r="H141" s="488">
        <f t="shared" si="28"/>
        <v>45067.337289580835</v>
      </c>
      <c r="I141" s="542">
        <f t="shared" si="29"/>
        <v>45067.337289580835</v>
      </c>
      <c r="J141" s="478">
        <f t="shared" si="22"/>
        <v>0</v>
      </c>
      <c r="K141" s="478"/>
      <c r="L141" s="487"/>
      <c r="M141" s="478">
        <f t="shared" si="31"/>
        <v>0</v>
      </c>
      <c r="N141" s="487"/>
      <c r="O141" s="478">
        <f t="shared" si="32"/>
        <v>0</v>
      </c>
      <c r="P141" s="478">
        <f t="shared" si="33"/>
        <v>0</v>
      </c>
    </row>
    <row r="142" spans="2:16">
      <c r="B142" s="160" t="str">
        <f t="shared" si="21"/>
        <v/>
      </c>
      <c r="C142" s="472">
        <f>IF(D93="","-",+C141+1)</f>
        <v>2057</v>
      </c>
      <c r="D142" s="346">
        <f>IF(F141+SUM(E$99:E141)=D$92,F141,D$92-SUM(E$99:E141))</f>
        <v>16376</v>
      </c>
      <c r="E142" s="484">
        <f t="shared" si="25"/>
        <v>16376</v>
      </c>
      <c r="F142" s="485">
        <f t="shared" si="26"/>
        <v>0</v>
      </c>
      <c r="G142" s="485">
        <f t="shared" si="27"/>
        <v>8188</v>
      </c>
      <c r="H142" s="488">
        <f t="shared" si="28"/>
        <v>17258.758480669778</v>
      </c>
      <c r="I142" s="542">
        <f t="shared" si="29"/>
        <v>17258.758480669778</v>
      </c>
      <c r="J142" s="478">
        <f t="shared" si="22"/>
        <v>0</v>
      </c>
      <c r="K142" s="478"/>
      <c r="L142" s="487"/>
      <c r="M142" s="478">
        <f t="shared" si="31"/>
        <v>0</v>
      </c>
      <c r="N142" s="487"/>
      <c r="O142" s="478">
        <f t="shared" si="32"/>
        <v>0</v>
      </c>
      <c r="P142" s="478">
        <f t="shared" si="33"/>
        <v>0</v>
      </c>
    </row>
    <row r="143" spans="2:16">
      <c r="B143" s="160" t="str">
        <f t="shared" si="21"/>
        <v/>
      </c>
      <c r="C143" s="472">
        <f>IF(D93="","-",+C142+1)</f>
        <v>2058</v>
      </c>
      <c r="D143" s="346">
        <f>IF(F142+SUM(E$99:E142)=D$92,F142,D$92-SUM(E$99:E142))</f>
        <v>0</v>
      </c>
      <c r="E143" s="484">
        <f t="shared" si="25"/>
        <v>0</v>
      </c>
      <c r="F143" s="485">
        <f t="shared" si="26"/>
        <v>0</v>
      </c>
      <c r="G143" s="485">
        <f t="shared" si="27"/>
        <v>0</v>
      </c>
      <c r="H143" s="488">
        <f t="shared" si="28"/>
        <v>0</v>
      </c>
      <c r="I143" s="542">
        <f t="shared" si="29"/>
        <v>0</v>
      </c>
      <c r="J143" s="478">
        <f t="shared" si="22"/>
        <v>0</v>
      </c>
      <c r="K143" s="478"/>
      <c r="L143" s="487"/>
      <c r="M143" s="478">
        <f t="shared" si="31"/>
        <v>0</v>
      </c>
      <c r="N143" s="487"/>
      <c r="O143" s="478">
        <f t="shared" si="32"/>
        <v>0</v>
      </c>
      <c r="P143" s="478">
        <f t="shared" si="33"/>
        <v>0</v>
      </c>
    </row>
    <row r="144" spans="2:16">
      <c r="B144" s="160" t="str">
        <f t="shared" si="21"/>
        <v/>
      </c>
      <c r="C144" s="472">
        <f>IF(D93="","-",+C143+1)</f>
        <v>2059</v>
      </c>
      <c r="D144" s="346">
        <f>IF(F143+SUM(E$99:E143)=D$92,F143,D$92-SUM(E$99:E143))</f>
        <v>0</v>
      </c>
      <c r="E144" s="484">
        <f t="shared" si="25"/>
        <v>0</v>
      </c>
      <c r="F144" s="485">
        <f t="shared" si="26"/>
        <v>0</v>
      </c>
      <c r="G144" s="485">
        <f t="shared" si="27"/>
        <v>0</v>
      </c>
      <c r="H144" s="488">
        <f t="shared" si="28"/>
        <v>0</v>
      </c>
      <c r="I144" s="542">
        <f t="shared" si="29"/>
        <v>0</v>
      </c>
      <c r="J144" s="478">
        <f t="shared" si="22"/>
        <v>0</v>
      </c>
      <c r="K144" s="478"/>
      <c r="L144" s="487"/>
      <c r="M144" s="478">
        <f t="shared" si="31"/>
        <v>0</v>
      </c>
      <c r="N144" s="487"/>
      <c r="O144" s="478">
        <f t="shared" si="32"/>
        <v>0</v>
      </c>
      <c r="P144" s="478">
        <f t="shared" si="33"/>
        <v>0</v>
      </c>
    </row>
    <row r="145" spans="2:16">
      <c r="B145" s="160" t="str">
        <f t="shared" si="21"/>
        <v/>
      </c>
      <c r="C145" s="472">
        <f>IF(D93="","-",+C144+1)</f>
        <v>2060</v>
      </c>
      <c r="D145" s="346">
        <f>IF(F144+SUM(E$99:E144)=D$92,F144,D$92-SUM(E$99:E144))</f>
        <v>0</v>
      </c>
      <c r="E145" s="484">
        <f t="shared" si="25"/>
        <v>0</v>
      </c>
      <c r="F145" s="485">
        <f t="shared" si="26"/>
        <v>0</v>
      </c>
      <c r="G145" s="485">
        <f t="shared" si="27"/>
        <v>0</v>
      </c>
      <c r="H145" s="488">
        <f t="shared" si="28"/>
        <v>0</v>
      </c>
      <c r="I145" s="542">
        <f t="shared" si="29"/>
        <v>0</v>
      </c>
      <c r="J145" s="478">
        <f t="shared" si="22"/>
        <v>0</v>
      </c>
      <c r="K145" s="478"/>
      <c r="L145" s="487"/>
      <c r="M145" s="478">
        <f t="shared" si="31"/>
        <v>0</v>
      </c>
      <c r="N145" s="487"/>
      <c r="O145" s="478">
        <f t="shared" si="32"/>
        <v>0</v>
      </c>
      <c r="P145" s="478">
        <f t="shared" si="33"/>
        <v>0</v>
      </c>
    </row>
    <row r="146" spans="2:16">
      <c r="B146" s="160" t="str">
        <f t="shared" si="21"/>
        <v/>
      </c>
      <c r="C146" s="472">
        <f>IF(D93="","-",+C145+1)</f>
        <v>2061</v>
      </c>
      <c r="D146" s="346">
        <f>IF(F145+SUM(E$99:E145)=D$92,F145,D$92-SUM(E$99:E145))</f>
        <v>0</v>
      </c>
      <c r="E146" s="484">
        <f t="shared" si="25"/>
        <v>0</v>
      </c>
      <c r="F146" s="485">
        <f t="shared" si="26"/>
        <v>0</v>
      </c>
      <c r="G146" s="485">
        <f t="shared" si="27"/>
        <v>0</v>
      </c>
      <c r="H146" s="488">
        <f t="shared" si="28"/>
        <v>0</v>
      </c>
      <c r="I146" s="542">
        <f t="shared" si="29"/>
        <v>0</v>
      </c>
      <c r="J146" s="478">
        <f t="shared" si="22"/>
        <v>0</v>
      </c>
      <c r="K146" s="478"/>
      <c r="L146" s="487"/>
      <c r="M146" s="478">
        <f t="shared" si="31"/>
        <v>0</v>
      </c>
      <c r="N146" s="487"/>
      <c r="O146" s="478">
        <f t="shared" si="32"/>
        <v>0</v>
      </c>
      <c r="P146" s="478">
        <f t="shared" si="33"/>
        <v>0</v>
      </c>
    </row>
    <row r="147" spans="2:16">
      <c r="B147" s="160" t="str">
        <f t="shared" si="21"/>
        <v/>
      </c>
      <c r="C147" s="472">
        <f>IF(D93="","-",+C146+1)</f>
        <v>2062</v>
      </c>
      <c r="D147" s="346">
        <f>IF(F146+SUM(E$99:E146)=D$92,F146,D$92-SUM(E$99:E146))</f>
        <v>0</v>
      </c>
      <c r="E147" s="484">
        <f t="shared" si="25"/>
        <v>0</v>
      </c>
      <c r="F147" s="485">
        <f t="shared" si="26"/>
        <v>0</v>
      </c>
      <c r="G147" s="485">
        <f t="shared" si="27"/>
        <v>0</v>
      </c>
      <c r="H147" s="488">
        <f t="shared" si="28"/>
        <v>0</v>
      </c>
      <c r="I147" s="542">
        <f t="shared" si="29"/>
        <v>0</v>
      </c>
      <c r="J147" s="478">
        <f t="shared" si="22"/>
        <v>0</v>
      </c>
      <c r="K147" s="478"/>
      <c r="L147" s="487"/>
      <c r="M147" s="478">
        <f t="shared" si="31"/>
        <v>0</v>
      </c>
      <c r="N147" s="487"/>
      <c r="O147" s="478">
        <f t="shared" si="32"/>
        <v>0</v>
      </c>
      <c r="P147" s="478">
        <f t="shared" si="33"/>
        <v>0</v>
      </c>
    </row>
    <row r="148" spans="2:16">
      <c r="B148" s="160" t="str">
        <f t="shared" si="21"/>
        <v/>
      </c>
      <c r="C148" s="472">
        <f>IF(D93="","-",+C147+1)</f>
        <v>2063</v>
      </c>
      <c r="D148" s="346">
        <f>IF(F147+SUM(E$99:E147)=D$92,F147,D$92-SUM(E$99:E147))</f>
        <v>0</v>
      </c>
      <c r="E148" s="484">
        <f t="shared" si="25"/>
        <v>0</v>
      </c>
      <c r="F148" s="485">
        <f t="shared" si="26"/>
        <v>0</v>
      </c>
      <c r="G148" s="485">
        <f t="shared" si="27"/>
        <v>0</v>
      </c>
      <c r="H148" s="488">
        <f t="shared" si="28"/>
        <v>0</v>
      </c>
      <c r="I148" s="542">
        <f t="shared" si="29"/>
        <v>0</v>
      </c>
      <c r="J148" s="478">
        <f t="shared" si="22"/>
        <v>0</v>
      </c>
      <c r="K148" s="478"/>
      <c r="L148" s="487"/>
      <c r="M148" s="478">
        <f t="shared" si="31"/>
        <v>0</v>
      </c>
      <c r="N148" s="487"/>
      <c r="O148" s="478">
        <f t="shared" si="32"/>
        <v>0</v>
      </c>
      <c r="P148" s="478">
        <f t="shared" si="33"/>
        <v>0</v>
      </c>
    </row>
    <row r="149" spans="2:16">
      <c r="B149" s="160" t="str">
        <f t="shared" si="21"/>
        <v/>
      </c>
      <c r="C149" s="472">
        <f>IF(D93="","-",+C148+1)</f>
        <v>2064</v>
      </c>
      <c r="D149" s="346">
        <f>IF(F148+SUM(E$99:E148)=D$92,F148,D$92-SUM(E$99:E148))</f>
        <v>0</v>
      </c>
      <c r="E149" s="484">
        <f t="shared" si="25"/>
        <v>0</v>
      </c>
      <c r="F149" s="485">
        <f t="shared" si="26"/>
        <v>0</v>
      </c>
      <c r="G149" s="485">
        <f t="shared" si="27"/>
        <v>0</v>
      </c>
      <c r="H149" s="488">
        <f t="shared" si="28"/>
        <v>0</v>
      </c>
      <c r="I149" s="542">
        <f t="shared" si="29"/>
        <v>0</v>
      </c>
      <c r="J149" s="478">
        <f t="shared" si="22"/>
        <v>0</v>
      </c>
      <c r="K149" s="478"/>
      <c r="L149" s="487"/>
      <c r="M149" s="478">
        <f t="shared" si="31"/>
        <v>0</v>
      </c>
      <c r="N149" s="487"/>
      <c r="O149" s="478">
        <f t="shared" si="32"/>
        <v>0</v>
      </c>
      <c r="P149" s="478">
        <f t="shared" si="33"/>
        <v>0</v>
      </c>
    </row>
    <row r="150" spans="2:16">
      <c r="B150" s="160" t="str">
        <f t="shared" si="21"/>
        <v/>
      </c>
      <c r="C150" s="472">
        <f>IF(D93="","-",+C149+1)</f>
        <v>2065</v>
      </c>
      <c r="D150" s="346">
        <f>IF(F149+SUM(E$99:E149)=D$92,F149,D$92-SUM(E$99:E149))</f>
        <v>0</v>
      </c>
      <c r="E150" s="484">
        <f t="shared" si="25"/>
        <v>0</v>
      </c>
      <c r="F150" s="485">
        <f t="shared" si="26"/>
        <v>0</v>
      </c>
      <c r="G150" s="485">
        <f t="shared" si="27"/>
        <v>0</v>
      </c>
      <c r="H150" s="488">
        <f t="shared" si="28"/>
        <v>0</v>
      </c>
      <c r="I150" s="542">
        <f t="shared" si="29"/>
        <v>0</v>
      </c>
      <c r="J150" s="478">
        <f t="shared" si="22"/>
        <v>0</v>
      </c>
      <c r="K150" s="478"/>
      <c r="L150" s="487"/>
      <c r="M150" s="478">
        <f t="shared" si="31"/>
        <v>0</v>
      </c>
      <c r="N150" s="487"/>
      <c r="O150" s="478">
        <f t="shared" si="32"/>
        <v>0</v>
      </c>
      <c r="P150" s="478">
        <f t="shared" si="33"/>
        <v>0</v>
      </c>
    </row>
    <row r="151" spans="2:16">
      <c r="B151" s="160" t="str">
        <f t="shared" si="21"/>
        <v/>
      </c>
      <c r="C151" s="472">
        <f>IF(D93="","-",+C150+1)</f>
        <v>2066</v>
      </c>
      <c r="D151" s="346">
        <f>IF(F150+SUM(E$99:E150)=D$92,F150,D$92-SUM(E$99:E150))</f>
        <v>0</v>
      </c>
      <c r="E151" s="484">
        <f t="shared" si="25"/>
        <v>0</v>
      </c>
      <c r="F151" s="485">
        <f t="shared" si="26"/>
        <v>0</v>
      </c>
      <c r="G151" s="485">
        <f t="shared" si="27"/>
        <v>0</v>
      </c>
      <c r="H151" s="488">
        <f t="shared" si="28"/>
        <v>0</v>
      </c>
      <c r="I151" s="542">
        <f t="shared" si="29"/>
        <v>0</v>
      </c>
      <c r="J151" s="478">
        <f t="shared" si="22"/>
        <v>0</v>
      </c>
      <c r="K151" s="478"/>
      <c r="L151" s="487"/>
      <c r="M151" s="478">
        <f t="shared" si="31"/>
        <v>0</v>
      </c>
      <c r="N151" s="487"/>
      <c r="O151" s="478">
        <f t="shared" si="32"/>
        <v>0</v>
      </c>
      <c r="P151" s="478">
        <f t="shared" si="33"/>
        <v>0</v>
      </c>
    </row>
    <row r="152" spans="2:16">
      <c r="B152" s="160" t="str">
        <f t="shared" si="21"/>
        <v/>
      </c>
      <c r="C152" s="472">
        <f>IF(D93="","-",+C151+1)</f>
        <v>2067</v>
      </c>
      <c r="D152" s="346">
        <f>IF(F151+SUM(E$99:E151)=D$92,F151,D$92-SUM(E$99:E151))</f>
        <v>0</v>
      </c>
      <c r="E152" s="484">
        <f t="shared" si="25"/>
        <v>0</v>
      </c>
      <c r="F152" s="485">
        <f t="shared" si="26"/>
        <v>0</v>
      </c>
      <c r="G152" s="485">
        <f t="shared" si="27"/>
        <v>0</v>
      </c>
      <c r="H152" s="488">
        <f t="shared" si="28"/>
        <v>0</v>
      </c>
      <c r="I152" s="542">
        <f t="shared" si="29"/>
        <v>0</v>
      </c>
      <c r="J152" s="478">
        <f t="shared" si="22"/>
        <v>0</v>
      </c>
      <c r="K152" s="478"/>
      <c r="L152" s="487"/>
      <c r="M152" s="478">
        <f t="shared" si="31"/>
        <v>0</v>
      </c>
      <c r="N152" s="487"/>
      <c r="O152" s="478">
        <f t="shared" si="32"/>
        <v>0</v>
      </c>
      <c r="P152" s="478">
        <f t="shared" si="33"/>
        <v>0</v>
      </c>
    </row>
    <row r="153" spans="2:16">
      <c r="B153" s="160" t="str">
        <f t="shared" si="21"/>
        <v/>
      </c>
      <c r="C153" s="472">
        <f>IF(D93="","-",+C152+1)</f>
        <v>2068</v>
      </c>
      <c r="D153" s="346">
        <f>IF(F152+SUM(E$99:E152)=D$92,F152,D$92-SUM(E$99:E152))</f>
        <v>0</v>
      </c>
      <c r="E153" s="484">
        <f t="shared" si="25"/>
        <v>0</v>
      </c>
      <c r="F153" s="485">
        <f t="shared" si="26"/>
        <v>0</v>
      </c>
      <c r="G153" s="485">
        <f t="shared" si="27"/>
        <v>0</v>
      </c>
      <c r="H153" s="488">
        <f t="shared" si="28"/>
        <v>0</v>
      </c>
      <c r="I153" s="542">
        <f t="shared" si="29"/>
        <v>0</v>
      </c>
      <c r="J153" s="478">
        <f t="shared" si="22"/>
        <v>0</v>
      </c>
      <c r="K153" s="478"/>
      <c r="L153" s="487"/>
      <c r="M153" s="478">
        <f t="shared" si="31"/>
        <v>0</v>
      </c>
      <c r="N153" s="487"/>
      <c r="O153" s="478">
        <f t="shared" si="32"/>
        <v>0</v>
      </c>
      <c r="P153" s="478">
        <f t="shared" si="33"/>
        <v>0</v>
      </c>
    </row>
    <row r="154" spans="2:16" ht="13.5" thickBot="1">
      <c r="B154" s="160" t="str">
        <f t="shared" si="21"/>
        <v/>
      </c>
      <c r="C154" s="489">
        <f>IF(D93="","-",+C153+1)</f>
        <v>2069</v>
      </c>
      <c r="D154" s="576">
        <f>IF(F153+SUM(E$99:E153)=D$92,F153,D$92-SUM(E$99:E153))</f>
        <v>0</v>
      </c>
      <c r="E154" s="491">
        <f t="shared" si="25"/>
        <v>0</v>
      </c>
      <c r="F154" s="490">
        <f t="shared" si="26"/>
        <v>0</v>
      </c>
      <c r="G154" s="490">
        <f t="shared" si="27"/>
        <v>0</v>
      </c>
      <c r="H154" s="492">
        <f t="shared" si="28"/>
        <v>0</v>
      </c>
      <c r="I154" s="545">
        <f t="shared" si="29"/>
        <v>0</v>
      </c>
      <c r="J154" s="495">
        <f t="shared" si="22"/>
        <v>0</v>
      </c>
      <c r="K154" s="478"/>
      <c r="L154" s="494"/>
      <c r="M154" s="495">
        <f t="shared" si="31"/>
        <v>0</v>
      </c>
      <c r="N154" s="494"/>
      <c r="O154" s="495">
        <f t="shared" si="32"/>
        <v>0</v>
      </c>
      <c r="P154" s="495">
        <f t="shared" si="33"/>
        <v>0</v>
      </c>
    </row>
    <row r="155" spans="2:16">
      <c r="C155" s="346" t="s">
        <v>77</v>
      </c>
      <c r="D155" s="347"/>
      <c r="E155" s="347">
        <f>SUM(E99:E154)</f>
        <v>1725647</v>
      </c>
      <c r="F155" s="347"/>
      <c r="G155" s="347"/>
      <c r="H155" s="347">
        <f>SUM(H99:H154)</f>
        <v>5810750.7339836909</v>
      </c>
      <c r="I155" s="347">
        <f>SUM(I99:I154)</f>
        <v>5810750.7339836909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9" priority="1" stopIfTrue="1" operator="equal">
      <formula>$I$10</formula>
    </cfRule>
  </conditionalFormatting>
  <conditionalFormatting sqref="C99:C154">
    <cfRule type="cellIs" dxfId="28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P162"/>
  <sheetViews>
    <sheetView view="pageBreakPreview" topLeftCell="A7" zoomScale="78" zoomScaleNormal="100" zoomScaleSheetLayoutView="78" workbookViewId="0">
      <selection activeCell="D19" sqref="D19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19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158554.07703900614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158554.07703900614</v>
      </c>
      <c r="O6" s="232"/>
      <c r="P6" s="232"/>
    </row>
    <row r="7" spans="1:16" ht="13.5" thickBot="1">
      <c r="C7" s="431" t="s">
        <v>46</v>
      </c>
      <c r="D7" s="599" t="s">
        <v>281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295</v>
      </c>
      <c r="E9" s="577" t="s">
        <v>296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1338978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31880.428571428572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2017</v>
      </c>
      <c r="D17" s="584">
        <v>0</v>
      </c>
      <c r="E17" s="608">
        <v>21831.16304347826</v>
      </c>
      <c r="F17" s="584">
        <v>1317146.8369565217</v>
      </c>
      <c r="G17" s="608">
        <v>105641.6474528401</v>
      </c>
      <c r="H17" s="587">
        <v>105641.6474528401</v>
      </c>
      <c r="I17" s="475">
        <f t="shared" ref="I17:I72" si="0">H17-G17</f>
        <v>0</v>
      </c>
      <c r="J17" s="475"/>
      <c r="K17" s="477">
        <f>+G17</f>
        <v>105641.6474528401</v>
      </c>
      <c r="L17" s="477">
        <f t="shared" ref="L17:L72" si="1">IF(K17&lt;&gt;0,+G17-K17,0)</f>
        <v>0</v>
      </c>
      <c r="M17" s="477">
        <f>+H17</f>
        <v>105641.6474528401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2018</v>
      </c>
      <c r="D18" s="584">
        <v>1317146.8369565217</v>
      </c>
      <c r="E18" s="585">
        <v>29755.066666666666</v>
      </c>
      <c r="F18" s="584">
        <v>1287391.7702898551</v>
      </c>
      <c r="G18" s="585">
        <v>185713.45898482588</v>
      </c>
      <c r="H18" s="587">
        <v>185713.45898482588</v>
      </c>
      <c r="I18" s="475">
        <f t="shared" si="0"/>
        <v>0</v>
      </c>
      <c r="J18" s="475"/>
      <c r="K18" s="478">
        <f>+G18</f>
        <v>185713.45898482588</v>
      </c>
      <c r="L18" s="478">
        <f t="shared" si="1"/>
        <v>0</v>
      </c>
      <c r="M18" s="478">
        <f>+H18</f>
        <v>185713.45898482588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2019</v>
      </c>
      <c r="D19" s="584">
        <v>1287391.7702898551</v>
      </c>
      <c r="E19" s="585">
        <v>33474.449999999997</v>
      </c>
      <c r="F19" s="584">
        <v>1253917.3202898551</v>
      </c>
      <c r="G19" s="585">
        <v>175351.45606998727</v>
      </c>
      <c r="H19" s="587">
        <v>175351.45606998727</v>
      </c>
      <c r="I19" s="475">
        <f t="shared" si="0"/>
        <v>0</v>
      </c>
      <c r="J19" s="475"/>
      <c r="K19" s="478">
        <f>+G19</f>
        <v>175351.45606998727</v>
      </c>
      <c r="L19" s="478">
        <f t="shared" ref="L19" si="4">IF(K19&lt;&gt;0,+G19-K19,0)</f>
        <v>0</v>
      </c>
      <c r="M19" s="478">
        <f>+H19</f>
        <v>175351.45606998727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2020</v>
      </c>
      <c r="D20" s="584">
        <v>1257636.7036231884</v>
      </c>
      <c r="E20" s="585">
        <v>31880.428571428572</v>
      </c>
      <c r="F20" s="584">
        <v>1225756.2750517598</v>
      </c>
      <c r="G20" s="585">
        <v>165989.58089219453</v>
      </c>
      <c r="H20" s="587">
        <v>165989.58089219453</v>
      </c>
      <c r="I20" s="475">
        <f t="shared" si="0"/>
        <v>0</v>
      </c>
      <c r="J20" s="475"/>
      <c r="K20" s="478">
        <f>+G20</f>
        <v>165989.58089219453</v>
      </c>
      <c r="L20" s="478">
        <f t="shared" ref="L20" si="6">IF(K20&lt;&gt;0,+G20-K20,0)</f>
        <v>0</v>
      </c>
      <c r="M20" s="478">
        <f>+H20</f>
        <v>165989.58089219453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5"/>
        <v>IU</v>
      </c>
      <c r="C21" s="472">
        <f>IF(D11="","-",+C20+1)</f>
        <v>2021</v>
      </c>
      <c r="D21" s="584">
        <v>1222036.8917184265</v>
      </c>
      <c r="E21" s="585">
        <v>31139.023255813954</v>
      </c>
      <c r="F21" s="584">
        <v>1190897.8684626126</v>
      </c>
      <c r="G21" s="585">
        <v>161222.32913848371</v>
      </c>
      <c r="H21" s="587">
        <v>161222.32913848371</v>
      </c>
      <c r="I21" s="475">
        <f t="shared" si="0"/>
        <v>0</v>
      </c>
      <c r="J21" s="475"/>
      <c r="K21" s="478">
        <f>+G21</f>
        <v>161222.32913848371</v>
      </c>
      <c r="L21" s="478">
        <f t="shared" ref="L21" si="7">IF(K21&lt;&gt;0,+G21-K21,0)</f>
        <v>0</v>
      </c>
      <c r="M21" s="478">
        <f>+H21</f>
        <v>161222.32913848371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1190897.8684626126</v>
      </c>
      <c r="E22" s="484">
        <f t="shared" ref="E22:E72" si="8">IF(+I$14&lt;F21,I$14,D22)</f>
        <v>31880.428571428572</v>
      </c>
      <c r="F22" s="485">
        <f t="shared" ref="F22:F72" si="9">+D22-E22</f>
        <v>1159017.439891184</v>
      </c>
      <c r="G22" s="486">
        <f t="shared" ref="G22:G72" si="10">(D22+F22)/2*I$12+E22</f>
        <v>158554.07703900614</v>
      </c>
      <c r="H22" s="455">
        <f t="shared" ref="H22:H72" si="11">+(D22+F22)/2*I$13+E22</f>
        <v>158554.07703900614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1159017.439891184</v>
      </c>
      <c r="E23" s="484">
        <f t="shared" si="8"/>
        <v>31880.428571428572</v>
      </c>
      <c r="F23" s="485">
        <f t="shared" si="9"/>
        <v>1127137.0113197553</v>
      </c>
      <c r="G23" s="486">
        <f t="shared" si="10"/>
        <v>155117.00831785132</v>
      </c>
      <c r="H23" s="455">
        <f t="shared" si="11"/>
        <v>155117.00831785132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1127137.0113197553</v>
      </c>
      <c r="E24" s="484">
        <f t="shared" si="8"/>
        <v>31880.428571428572</v>
      </c>
      <c r="F24" s="485">
        <f t="shared" si="9"/>
        <v>1095256.5827483267</v>
      </c>
      <c r="G24" s="486">
        <f t="shared" si="10"/>
        <v>151679.93959669649</v>
      </c>
      <c r="H24" s="455">
        <f t="shared" si="11"/>
        <v>151679.93959669649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1095256.5827483267</v>
      </c>
      <c r="E25" s="484">
        <f t="shared" si="8"/>
        <v>31880.428571428572</v>
      </c>
      <c r="F25" s="485">
        <f t="shared" si="9"/>
        <v>1063376.1541768981</v>
      </c>
      <c r="G25" s="486">
        <f t="shared" si="10"/>
        <v>148242.87087554164</v>
      </c>
      <c r="H25" s="455">
        <f t="shared" si="11"/>
        <v>148242.87087554164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1063376.1541768981</v>
      </c>
      <c r="E26" s="484">
        <f t="shared" si="8"/>
        <v>31880.428571428572</v>
      </c>
      <c r="F26" s="485">
        <f t="shared" si="9"/>
        <v>1031495.7256054695</v>
      </c>
      <c r="G26" s="486">
        <f t="shared" si="10"/>
        <v>144805.80215438682</v>
      </c>
      <c r="H26" s="455">
        <f t="shared" si="11"/>
        <v>144805.80215438682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1031495.7256054695</v>
      </c>
      <c r="E27" s="484">
        <f t="shared" si="8"/>
        <v>31880.428571428572</v>
      </c>
      <c r="F27" s="485">
        <f t="shared" si="9"/>
        <v>999615.29703404102</v>
      </c>
      <c r="G27" s="486">
        <f t="shared" si="10"/>
        <v>141368.73343323203</v>
      </c>
      <c r="H27" s="455">
        <f t="shared" si="11"/>
        <v>141368.73343323203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999615.29703404102</v>
      </c>
      <c r="E28" s="484">
        <f t="shared" si="8"/>
        <v>31880.428571428572</v>
      </c>
      <c r="F28" s="485">
        <f t="shared" si="9"/>
        <v>967734.8684626125</v>
      </c>
      <c r="G28" s="486">
        <f t="shared" si="10"/>
        <v>137931.66471207721</v>
      </c>
      <c r="H28" s="455">
        <f t="shared" si="11"/>
        <v>137931.66471207721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967734.8684626125</v>
      </c>
      <c r="E29" s="484">
        <f t="shared" si="8"/>
        <v>31880.428571428572</v>
      </c>
      <c r="F29" s="485">
        <f t="shared" si="9"/>
        <v>935854.43989118398</v>
      </c>
      <c r="G29" s="486">
        <f t="shared" si="10"/>
        <v>134494.59599092239</v>
      </c>
      <c r="H29" s="455">
        <f t="shared" si="11"/>
        <v>134494.59599092239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935854.43989118398</v>
      </c>
      <c r="E30" s="484">
        <f t="shared" si="8"/>
        <v>31880.428571428572</v>
      </c>
      <c r="F30" s="485">
        <f t="shared" si="9"/>
        <v>903974.01131975546</v>
      </c>
      <c r="G30" s="486">
        <f t="shared" si="10"/>
        <v>131057.52726976757</v>
      </c>
      <c r="H30" s="455">
        <f t="shared" si="11"/>
        <v>131057.52726976757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903974.01131975546</v>
      </c>
      <c r="E31" s="484">
        <f t="shared" si="8"/>
        <v>31880.428571428572</v>
      </c>
      <c r="F31" s="485">
        <f t="shared" si="9"/>
        <v>872093.58274832694</v>
      </c>
      <c r="G31" s="486">
        <f t="shared" si="10"/>
        <v>127620.45854861278</v>
      </c>
      <c r="H31" s="455">
        <f t="shared" si="11"/>
        <v>127620.45854861278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872093.58274832694</v>
      </c>
      <c r="E32" s="484">
        <f t="shared" si="8"/>
        <v>31880.428571428572</v>
      </c>
      <c r="F32" s="485">
        <f t="shared" si="9"/>
        <v>840213.15417689842</v>
      </c>
      <c r="G32" s="486">
        <f t="shared" si="10"/>
        <v>124183.38982745796</v>
      </c>
      <c r="H32" s="455">
        <f t="shared" si="11"/>
        <v>124183.38982745796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840213.15417689842</v>
      </c>
      <c r="E33" s="484">
        <f t="shared" si="8"/>
        <v>31880.428571428572</v>
      </c>
      <c r="F33" s="485">
        <f t="shared" si="9"/>
        <v>808332.7256054699</v>
      </c>
      <c r="G33" s="486">
        <f t="shared" si="10"/>
        <v>120746.32110630313</v>
      </c>
      <c r="H33" s="455">
        <f t="shared" si="11"/>
        <v>120746.32110630313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808332.7256054699</v>
      </c>
      <c r="E34" s="484">
        <f t="shared" si="8"/>
        <v>31880.428571428572</v>
      </c>
      <c r="F34" s="485">
        <f t="shared" si="9"/>
        <v>776452.29703404137</v>
      </c>
      <c r="G34" s="486">
        <f t="shared" si="10"/>
        <v>117309.25238514831</v>
      </c>
      <c r="H34" s="455">
        <f t="shared" si="11"/>
        <v>117309.25238514831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776452.29703404137</v>
      </c>
      <c r="E35" s="484">
        <f t="shared" si="8"/>
        <v>31880.428571428572</v>
      </c>
      <c r="F35" s="485">
        <f t="shared" si="9"/>
        <v>744571.86846261285</v>
      </c>
      <c r="G35" s="486">
        <f t="shared" si="10"/>
        <v>113872.18366399352</v>
      </c>
      <c r="H35" s="455">
        <f t="shared" si="11"/>
        <v>113872.18366399352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744571.86846261285</v>
      </c>
      <c r="E36" s="484">
        <f t="shared" si="8"/>
        <v>31880.428571428572</v>
      </c>
      <c r="F36" s="485">
        <f t="shared" si="9"/>
        <v>712691.43989118433</v>
      </c>
      <c r="G36" s="486">
        <f t="shared" si="10"/>
        <v>110435.11494283867</v>
      </c>
      <c r="H36" s="455">
        <f t="shared" si="11"/>
        <v>110435.11494283867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712691.43989118433</v>
      </c>
      <c r="E37" s="484">
        <f t="shared" si="8"/>
        <v>31880.428571428572</v>
      </c>
      <c r="F37" s="485">
        <f t="shared" si="9"/>
        <v>680811.01131975581</v>
      </c>
      <c r="G37" s="486">
        <f t="shared" si="10"/>
        <v>106998.04622168388</v>
      </c>
      <c r="H37" s="455">
        <f t="shared" si="11"/>
        <v>106998.04622168388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680811.01131975581</v>
      </c>
      <c r="E38" s="484">
        <f t="shared" si="8"/>
        <v>31880.428571428572</v>
      </c>
      <c r="F38" s="485">
        <f t="shared" si="9"/>
        <v>648930.58274832729</v>
      </c>
      <c r="G38" s="486">
        <f t="shared" si="10"/>
        <v>103560.97750052906</v>
      </c>
      <c r="H38" s="455">
        <f t="shared" si="11"/>
        <v>103560.97750052906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648930.58274832729</v>
      </c>
      <c r="E39" s="484">
        <f t="shared" si="8"/>
        <v>31880.428571428572</v>
      </c>
      <c r="F39" s="485">
        <f t="shared" si="9"/>
        <v>617050.15417689877</v>
      </c>
      <c r="G39" s="486">
        <f t="shared" si="10"/>
        <v>100123.90877937427</v>
      </c>
      <c r="H39" s="455">
        <f t="shared" si="11"/>
        <v>100123.90877937427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617050.15417689877</v>
      </c>
      <c r="E40" s="484">
        <f t="shared" si="8"/>
        <v>31880.428571428572</v>
      </c>
      <c r="F40" s="485">
        <f t="shared" si="9"/>
        <v>585169.72560547024</v>
      </c>
      <c r="G40" s="486">
        <f t="shared" si="10"/>
        <v>96686.840058219415</v>
      </c>
      <c r="H40" s="455">
        <f t="shared" si="11"/>
        <v>96686.840058219415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585169.72560547024</v>
      </c>
      <c r="E41" s="484">
        <f t="shared" si="8"/>
        <v>31880.428571428572</v>
      </c>
      <c r="F41" s="485">
        <f t="shared" si="9"/>
        <v>553289.29703404172</v>
      </c>
      <c r="G41" s="486">
        <f t="shared" si="10"/>
        <v>93249.771337064623</v>
      </c>
      <c r="H41" s="455">
        <f t="shared" si="11"/>
        <v>93249.771337064623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553289.29703404172</v>
      </c>
      <c r="E42" s="484">
        <f t="shared" si="8"/>
        <v>31880.428571428572</v>
      </c>
      <c r="F42" s="485">
        <f t="shared" si="9"/>
        <v>521408.86846261314</v>
      </c>
      <c r="G42" s="486">
        <f t="shared" si="10"/>
        <v>89812.702615909802</v>
      </c>
      <c r="H42" s="455">
        <f t="shared" si="11"/>
        <v>89812.702615909802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521408.86846261314</v>
      </c>
      <c r="E43" s="484">
        <f t="shared" si="8"/>
        <v>31880.428571428572</v>
      </c>
      <c r="F43" s="485">
        <f t="shared" si="9"/>
        <v>489528.43989118456</v>
      </c>
      <c r="G43" s="486">
        <f t="shared" si="10"/>
        <v>86375.633894754981</v>
      </c>
      <c r="H43" s="455">
        <f t="shared" si="11"/>
        <v>86375.633894754981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489528.43989118456</v>
      </c>
      <c r="E44" s="484">
        <f t="shared" si="8"/>
        <v>31880.428571428572</v>
      </c>
      <c r="F44" s="485">
        <f t="shared" si="9"/>
        <v>457648.01131975598</v>
      </c>
      <c r="G44" s="486">
        <f t="shared" si="10"/>
        <v>82938.56517360016</v>
      </c>
      <c r="H44" s="455">
        <f t="shared" si="11"/>
        <v>82938.56517360016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457648.01131975598</v>
      </c>
      <c r="E45" s="484">
        <f t="shared" si="8"/>
        <v>31880.428571428572</v>
      </c>
      <c r="F45" s="485">
        <f t="shared" si="9"/>
        <v>425767.5827483274</v>
      </c>
      <c r="G45" s="486">
        <f t="shared" si="10"/>
        <v>79501.496452445339</v>
      </c>
      <c r="H45" s="455">
        <f t="shared" si="11"/>
        <v>79501.496452445339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425767.5827483274</v>
      </c>
      <c r="E46" s="484">
        <f t="shared" si="8"/>
        <v>31880.428571428572</v>
      </c>
      <c r="F46" s="485">
        <f t="shared" si="9"/>
        <v>393887.15417689882</v>
      </c>
      <c r="G46" s="486">
        <f t="shared" si="10"/>
        <v>76064.427731290518</v>
      </c>
      <c r="H46" s="455">
        <f t="shared" si="11"/>
        <v>76064.427731290518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393887.15417689882</v>
      </c>
      <c r="E47" s="484">
        <f t="shared" si="8"/>
        <v>31880.428571428572</v>
      </c>
      <c r="F47" s="485">
        <f t="shared" si="9"/>
        <v>362006.72560547024</v>
      </c>
      <c r="G47" s="486">
        <f t="shared" si="10"/>
        <v>72627.359010135697</v>
      </c>
      <c r="H47" s="455">
        <f t="shared" si="11"/>
        <v>72627.359010135697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362006.72560547024</v>
      </c>
      <c r="E48" s="484">
        <f t="shared" si="8"/>
        <v>31880.428571428572</v>
      </c>
      <c r="F48" s="485">
        <f t="shared" si="9"/>
        <v>330126.29703404167</v>
      </c>
      <c r="G48" s="486">
        <f t="shared" si="10"/>
        <v>69190.290288980876</v>
      </c>
      <c r="H48" s="455">
        <f t="shared" si="11"/>
        <v>69190.290288980876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330126.29703404167</v>
      </c>
      <c r="E49" s="484">
        <f t="shared" si="8"/>
        <v>31880.428571428572</v>
      </c>
      <c r="F49" s="485">
        <f t="shared" si="9"/>
        <v>298245.86846261309</v>
      </c>
      <c r="G49" s="486">
        <f t="shared" si="10"/>
        <v>65753.221567826055</v>
      </c>
      <c r="H49" s="455">
        <f t="shared" si="11"/>
        <v>65753.221567826055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298245.86846261309</v>
      </c>
      <c r="E50" s="484">
        <f t="shared" si="8"/>
        <v>31880.428571428572</v>
      </c>
      <c r="F50" s="485">
        <f t="shared" si="9"/>
        <v>266365.43989118451</v>
      </c>
      <c r="G50" s="486">
        <f t="shared" si="10"/>
        <v>62316.152846671233</v>
      </c>
      <c r="H50" s="455">
        <f t="shared" si="11"/>
        <v>62316.152846671233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266365.43989118451</v>
      </c>
      <c r="E51" s="484">
        <f t="shared" si="8"/>
        <v>31880.428571428572</v>
      </c>
      <c r="F51" s="485">
        <f t="shared" si="9"/>
        <v>234485.01131975593</v>
      </c>
      <c r="G51" s="486">
        <f t="shared" si="10"/>
        <v>58879.084125516412</v>
      </c>
      <c r="H51" s="455">
        <f t="shared" si="11"/>
        <v>58879.084125516412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234485.01131975593</v>
      </c>
      <c r="E52" s="484">
        <f t="shared" si="8"/>
        <v>31880.428571428572</v>
      </c>
      <c r="F52" s="485">
        <f t="shared" si="9"/>
        <v>202604.58274832735</v>
      </c>
      <c r="G52" s="486">
        <f t="shared" si="10"/>
        <v>55442.015404361591</v>
      </c>
      <c r="H52" s="455">
        <f t="shared" si="11"/>
        <v>55442.015404361591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202604.58274832735</v>
      </c>
      <c r="E53" s="484">
        <f t="shared" si="8"/>
        <v>31880.428571428572</v>
      </c>
      <c r="F53" s="485">
        <f t="shared" si="9"/>
        <v>170724.15417689877</v>
      </c>
      <c r="G53" s="486">
        <f t="shared" si="10"/>
        <v>52004.94668320677</v>
      </c>
      <c r="H53" s="455">
        <f t="shared" si="11"/>
        <v>52004.94668320677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170724.15417689877</v>
      </c>
      <c r="E54" s="484">
        <f t="shared" si="8"/>
        <v>31880.428571428572</v>
      </c>
      <c r="F54" s="485">
        <f t="shared" si="9"/>
        <v>138843.72560547019</v>
      </c>
      <c r="G54" s="486">
        <f t="shared" si="10"/>
        <v>48567.877962051949</v>
      </c>
      <c r="H54" s="455">
        <f t="shared" si="11"/>
        <v>48567.877962051949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138843.72560547019</v>
      </c>
      <c r="E55" s="484">
        <f t="shared" si="8"/>
        <v>31880.428571428572</v>
      </c>
      <c r="F55" s="485">
        <f t="shared" si="9"/>
        <v>106963.29703404161</v>
      </c>
      <c r="G55" s="486">
        <f t="shared" si="10"/>
        <v>45130.809240897128</v>
      </c>
      <c r="H55" s="455">
        <f t="shared" si="11"/>
        <v>45130.809240897128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106963.29703404161</v>
      </c>
      <c r="E56" s="484">
        <f t="shared" si="8"/>
        <v>31880.428571428572</v>
      </c>
      <c r="F56" s="485">
        <f t="shared" si="9"/>
        <v>75082.868462613027</v>
      </c>
      <c r="G56" s="486">
        <f t="shared" si="10"/>
        <v>41693.740519742314</v>
      </c>
      <c r="H56" s="455">
        <f t="shared" si="11"/>
        <v>41693.740519742314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75082.868462613027</v>
      </c>
      <c r="E57" s="484">
        <f t="shared" si="8"/>
        <v>31880.428571428572</v>
      </c>
      <c r="F57" s="485">
        <f t="shared" si="9"/>
        <v>43202.439891184455</v>
      </c>
      <c r="G57" s="486">
        <f t="shared" si="10"/>
        <v>38256.671798587493</v>
      </c>
      <c r="H57" s="455">
        <f t="shared" si="11"/>
        <v>38256.671798587493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43202.439891184455</v>
      </c>
      <c r="E58" s="484">
        <f t="shared" si="8"/>
        <v>31880.428571428572</v>
      </c>
      <c r="F58" s="485">
        <f t="shared" si="9"/>
        <v>11322.011319755882</v>
      </c>
      <c r="G58" s="486">
        <f t="shared" si="10"/>
        <v>34819.603077432672</v>
      </c>
      <c r="H58" s="455">
        <f t="shared" si="11"/>
        <v>34819.603077432672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11322.011319755882</v>
      </c>
      <c r="E59" s="484">
        <f t="shared" si="8"/>
        <v>11322.011319755882</v>
      </c>
      <c r="F59" s="485">
        <f t="shared" si="9"/>
        <v>0</v>
      </c>
      <c r="G59" s="486">
        <f t="shared" si="10"/>
        <v>11932.331392469227</v>
      </c>
      <c r="H59" s="455">
        <f t="shared" si="11"/>
        <v>11932.331392469227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0</v>
      </c>
      <c r="E60" s="484">
        <f t="shared" si="8"/>
        <v>0</v>
      </c>
      <c r="F60" s="485">
        <f t="shared" si="9"/>
        <v>0</v>
      </c>
      <c r="G60" s="486">
        <f t="shared" si="10"/>
        <v>0</v>
      </c>
      <c r="H60" s="455">
        <f t="shared" si="11"/>
        <v>0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>
      <c r="C73" s="346" t="s">
        <v>77</v>
      </c>
      <c r="D73" s="347"/>
      <c r="E73" s="347">
        <f>SUM(E17:E72)</f>
        <v>1338978.0000000002</v>
      </c>
      <c r="F73" s="347"/>
      <c r="G73" s="347">
        <f>SUM(G17:G72)</f>
        <v>4383263.8860849198</v>
      </c>
      <c r="H73" s="347">
        <f>SUM(H17:H72)</f>
        <v>4383263.8860849198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19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165989.58089219453</v>
      </c>
      <c r="N87" s="508">
        <f>IF(J92&lt;D11,0,VLOOKUP(J92,C17:O72,11))</f>
        <v>165989.58089219453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173851.68865310939</v>
      </c>
      <c r="N88" s="512">
        <f>IF(J92&lt;D11,0,VLOOKUP(J92,C99:P154,7))</f>
        <v>173851.68865310939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Valliant-NW Texarkana 345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7862.1077609148633</v>
      </c>
      <c r="N89" s="517">
        <f>+N88-N87</f>
        <v>7862.1077609148633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TP2009089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f>IF(D11=I10,0,D10)</f>
        <v>1338978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3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31880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21831</v>
      </c>
      <c r="F99" s="584">
        <v>1317147</v>
      </c>
      <c r="G99" s="608">
        <v>658573.5</v>
      </c>
      <c r="H99" s="587">
        <v>105372.70906867021</v>
      </c>
      <c r="I99" s="607">
        <v>105372.70906867021</v>
      </c>
      <c r="J99" s="478">
        <f t="shared" ref="J99:J130" si="12">+I99-H99</f>
        <v>0</v>
      </c>
      <c r="K99" s="478"/>
      <c r="L99" s="477">
        <f>+H99</f>
        <v>105372.70906867021</v>
      </c>
      <c r="M99" s="477">
        <f t="shared" ref="M99:M130" si="13">IF(L99&lt;&gt;0,+H99-L99,0)</f>
        <v>0</v>
      </c>
      <c r="N99" s="477">
        <f>+I99</f>
        <v>105372.70906867021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78">
        <v>1317147</v>
      </c>
      <c r="E100" s="579">
        <v>31139</v>
      </c>
      <c r="F100" s="578">
        <v>1286008</v>
      </c>
      <c r="G100" s="579">
        <v>1301577.5</v>
      </c>
      <c r="H100" s="602">
        <v>164857.30223166285</v>
      </c>
      <c r="I100" s="578">
        <v>164857.30223166285</v>
      </c>
      <c r="J100" s="478">
        <f t="shared" si="12"/>
        <v>0</v>
      </c>
      <c r="K100" s="478"/>
      <c r="L100" s="476">
        <f>H100</f>
        <v>164857.30223166285</v>
      </c>
      <c r="M100" s="348">
        <f>IF(L100&lt;&gt;0,+H100-L100,0)</f>
        <v>0</v>
      </c>
      <c r="N100" s="476">
        <f>I100</f>
        <v>164857.30223166285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2019</v>
      </c>
      <c r="D101" s="578">
        <v>1286008</v>
      </c>
      <c r="E101" s="579">
        <v>32658</v>
      </c>
      <c r="F101" s="578">
        <v>1253350</v>
      </c>
      <c r="G101" s="579">
        <v>1269679</v>
      </c>
      <c r="H101" s="602">
        <v>163579.71352002863</v>
      </c>
      <c r="I101" s="578">
        <v>163579.71352002863</v>
      </c>
      <c r="J101" s="478">
        <f t="shared" si="12"/>
        <v>0</v>
      </c>
      <c r="K101" s="478"/>
      <c r="L101" s="476">
        <f>H101</f>
        <v>163579.71352002863</v>
      </c>
      <c r="M101" s="348">
        <f>IF(L101&lt;&gt;0,+H101-L101,0)</f>
        <v>0</v>
      </c>
      <c r="N101" s="476">
        <f>I101</f>
        <v>163579.71352002863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2020</v>
      </c>
      <c r="D102" s="578">
        <v>1253350</v>
      </c>
      <c r="E102" s="579">
        <v>31139</v>
      </c>
      <c r="F102" s="578">
        <v>1222211</v>
      </c>
      <c r="G102" s="579">
        <v>1237780.5</v>
      </c>
      <c r="H102" s="602">
        <v>173851.68865310939</v>
      </c>
      <c r="I102" s="578">
        <v>173851.68865310939</v>
      </c>
      <c r="J102" s="478">
        <f t="shared" si="12"/>
        <v>0</v>
      </c>
      <c r="K102" s="478"/>
      <c r="L102" s="476">
        <f>H102</f>
        <v>173851.68865310939</v>
      </c>
      <c r="M102" s="348">
        <f>IF(L102&lt;&gt;0,+H102-L102,0)</f>
        <v>0</v>
      </c>
      <c r="N102" s="476">
        <f>I102</f>
        <v>173851.68865310939</v>
      </c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2021</v>
      </c>
      <c r="D103" s="346">
        <f>IF(F102+SUM(E$99:E102)=D$92,F102,D$92-SUM(E$99:E102))</f>
        <v>1222211</v>
      </c>
      <c r="E103" s="484">
        <f t="shared" ref="E103:E154" si="17">IF(+J$96&lt;F102,J$96,D103)</f>
        <v>31880</v>
      </c>
      <c r="F103" s="485">
        <f t="shared" ref="F103:F154" si="18">+D103-E103</f>
        <v>1190331</v>
      </c>
      <c r="G103" s="485">
        <f t="shared" ref="G103:G154" si="19">+(F103+D103)/2</f>
        <v>1206271</v>
      </c>
      <c r="H103" s="613">
        <f t="shared" ref="H103:H154" si="20">+J$94*G103+E103</f>
        <v>161929.57929115946</v>
      </c>
      <c r="I103" s="614">
        <f t="shared" ref="I103:I154" si="21">+J$95*G103+E103</f>
        <v>161929.57929115946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2022</v>
      </c>
      <c r="D104" s="346">
        <f>IF(F103+SUM(E$99:E103)=D$92,F103,D$92-SUM(E$99:E103))</f>
        <v>1190331</v>
      </c>
      <c r="E104" s="484">
        <f t="shared" si="17"/>
        <v>31880</v>
      </c>
      <c r="F104" s="485">
        <f t="shared" si="18"/>
        <v>1158451</v>
      </c>
      <c r="G104" s="485">
        <f t="shared" si="19"/>
        <v>1174391</v>
      </c>
      <c r="H104" s="613">
        <f t="shared" si="20"/>
        <v>158492.55677482428</v>
      </c>
      <c r="I104" s="614">
        <f t="shared" si="21"/>
        <v>158492.55677482428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2023</v>
      </c>
      <c r="D105" s="346">
        <f>IF(F104+SUM(E$99:E104)=D$92,F104,D$92-SUM(E$99:E104))</f>
        <v>1158451</v>
      </c>
      <c r="E105" s="484">
        <f t="shared" si="17"/>
        <v>31880</v>
      </c>
      <c r="F105" s="485">
        <f t="shared" si="18"/>
        <v>1126571</v>
      </c>
      <c r="G105" s="485">
        <f t="shared" si="19"/>
        <v>1142511</v>
      </c>
      <c r="H105" s="613">
        <f t="shared" si="20"/>
        <v>155055.53425848909</v>
      </c>
      <c r="I105" s="614">
        <f t="shared" si="21"/>
        <v>155055.53425848909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2024</v>
      </c>
      <c r="D106" s="346">
        <f>IF(F105+SUM(E$99:E105)=D$92,F105,D$92-SUM(E$99:E105))</f>
        <v>1126571</v>
      </c>
      <c r="E106" s="484">
        <f t="shared" si="17"/>
        <v>31880</v>
      </c>
      <c r="F106" s="485">
        <f t="shared" si="18"/>
        <v>1094691</v>
      </c>
      <c r="G106" s="485">
        <f t="shared" si="19"/>
        <v>1110631</v>
      </c>
      <c r="H106" s="613">
        <f t="shared" si="20"/>
        <v>151618.5117421539</v>
      </c>
      <c r="I106" s="614">
        <f t="shared" si="21"/>
        <v>151618.5117421539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2025</v>
      </c>
      <c r="D107" s="346">
        <f>IF(F106+SUM(E$99:E106)=D$92,F106,D$92-SUM(E$99:E106))</f>
        <v>1094691</v>
      </c>
      <c r="E107" s="484">
        <f t="shared" si="17"/>
        <v>31880</v>
      </c>
      <c r="F107" s="485">
        <f t="shared" si="18"/>
        <v>1062811</v>
      </c>
      <c r="G107" s="485">
        <f t="shared" si="19"/>
        <v>1078751</v>
      </c>
      <c r="H107" s="613">
        <f t="shared" si="20"/>
        <v>148181.48922581872</v>
      </c>
      <c r="I107" s="614">
        <f t="shared" si="21"/>
        <v>148181.48922581872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2026</v>
      </c>
      <c r="D108" s="346">
        <f>IF(F107+SUM(E$99:E107)=D$92,F107,D$92-SUM(E$99:E107))</f>
        <v>1062811</v>
      </c>
      <c r="E108" s="484">
        <f t="shared" si="17"/>
        <v>31880</v>
      </c>
      <c r="F108" s="485">
        <f t="shared" si="18"/>
        <v>1030931</v>
      </c>
      <c r="G108" s="485">
        <f t="shared" si="19"/>
        <v>1046871</v>
      </c>
      <c r="H108" s="613">
        <f t="shared" si="20"/>
        <v>144744.46670948353</v>
      </c>
      <c r="I108" s="614">
        <f t="shared" si="21"/>
        <v>144744.46670948353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2027</v>
      </c>
      <c r="D109" s="346">
        <f>IF(F108+SUM(E$99:E108)=D$92,F108,D$92-SUM(E$99:E108))</f>
        <v>1030931</v>
      </c>
      <c r="E109" s="484">
        <f t="shared" si="17"/>
        <v>31880</v>
      </c>
      <c r="F109" s="485">
        <f t="shared" si="18"/>
        <v>999051</v>
      </c>
      <c r="G109" s="485">
        <f t="shared" si="19"/>
        <v>1014991</v>
      </c>
      <c r="H109" s="613">
        <f t="shared" si="20"/>
        <v>141307.44419314835</v>
      </c>
      <c r="I109" s="614">
        <f t="shared" si="21"/>
        <v>141307.44419314835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2028</v>
      </c>
      <c r="D110" s="346">
        <f>IF(F109+SUM(E$99:E109)=D$92,F109,D$92-SUM(E$99:E109))</f>
        <v>999051</v>
      </c>
      <c r="E110" s="484">
        <f t="shared" si="17"/>
        <v>31880</v>
      </c>
      <c r="F110" s="485">
        <f t="shared" si="18"/>
        <v>967171</v>
      </c>
      <c r="G110" s="485">
        <f t="shared" si="19"/>
        <v>983111</v>
      </c>
      <c r="H110" s="613">
        <f t="shared" si="20"/>
        <v>137870.42167681316</v>
      </c>
      <c r="I110" s="614">
        <f t="shared" si="21"/>
        <v>137870.42167681316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2029</v>
      </c>
      <c r="D111" s="346">
        <f>IF(F110+SUM(E$99:E110)=D$92,F110,D$92-SUM(E$99:E110))</f>
        <v>967171</v>
      </c>
      <c r="E111" s="484">
        <f t="shared" si="17"/>
        <v>31880</v>
      </c>
      <c r="F111" s="485">
        <f t="shared" si="18"/>
        <v>935291</v>
      </c>
      <c r="G111" s="485">
        <f t="shared" si="19"/>
        <v>951231</v>
      </c>
      <c r="H111" s="613">
        <f t="shared" si="20"/>
        <v>134433.39916047797</v>
      </c>
      <c r="I111" s="614">
        <f t="shared" si="21"/>
        <v>134433.39916047797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2030</v>
      </c>
      <c r="D112" s="346">
        <f>IF(F111+SUM(E$99:E111)=D$92,F111,D$92-SUM(E$99:E111))</f>
        <v>935291</v>
      </c>
      <c r="E112" s="484">
        <f t="shared" si="17"/>
        <v>31880</v>
      </c>
      <c r="F112" s="485">
        <f t="shared" si="18"/>
        <v>903411</v>
      </c>
      <c r="G112" s="485">
        <f t="shared" si="19"/>
        <v>919351</v>
      </c>
      <c r="H112" s="613">
        <f t="shared" si="20"/>
        <v>130996.37664414277</v>
      </c>
      <c r="I112" s="614">
        <f t="shared" si="21"/>
        <v>130996.37664414277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2031</v>
      </c>
      <c r="D113" s="346">
        <f>IF(F112+SUM(E$99:E112)=D$92,F112,D$92-SUM(E$99:E112))</f>
        <v>903411</v>
      </c>
      <c r="E113" s="484">
        <f t="shared" si="17"/>
        <v>31880</v>
      </c>
      <c r="F113" s="485">
        <f t="shared" si="18"/>
        <v>871531</v>
      </c>
      <c r="G113" s="485">
        <f t="shared" si="19"/>
        <v>887471</v>
      </c>
      <c r="H113" s="613">
        <f t="shared" si="20"/>
        <v>127559.35412780759</v>
      </c>
      <c r="I113" s="614">
        <f t="shared" si="21"/>
        <v>127559.35412780759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2032</v>
      </c>
      <c r="D114" s="346">
        <f>IF(F113+SUM(E$99:E113)=D$92,F113,D$92-SUM(E$99:E113))</f>
        <v>871531</v>
      </c>
      <c r="E114" s="484">
        <f t="shared" si="17"/>
        <v>31880</v>
      </c>
      <c r="F114" s="485">
        <f t="shared" si="18"/>
        <v>839651</v>
      </c>
      <c r="G114" s="485">
        <f t="shared" si="19"/>
        <v>855591</v>
      </c>
      <c r="H114" s="613">
        <f t="shared" si="20"/>
        <v>124122.33161147239</v>
      </c>
      <c r="I114" s="614">
        <f t="shared" si="21"/>
        <v>124122.33161147239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2033</v>
      </c>
      <c r="D115" s="346">
        <f>IF(F114+SUM(E$99:E114)=D$92,F114,D$92-SUM(E$99:E114))</f>
        <v>839651</v>
      </c>
      <c r="E115" s="484">
        <f t="shared" si="17"/>
        <v>31880</v>
      </c>
      <c r="F115" s="485">
        <f t="shared" si="18"/>
        <v>807771</v>
      </c>
      <c r="G115" s="485">
        <f t="shared" si="19"/>
        <v>823711</v>
      </c>
      <c r="H115" s="613">
        <f t="shared" si="20"/>
        <v>120685.3090951372</v>
      </c>
      <c r="I115" s="614">
        <f t="shared" si="21"/>
        <v>120685.3090951372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2034</v>
      </c>
      <c r="D116" s="346">
        <f>IF(F115+SUM(E$99:E115)=D$92,F115,D$92-SUM(E$99:E115))</f>
        <v>807771</v>
      </c>
      <c r="E116" s="484">
        <f t="shared" si="17"/>
        <v>31880</v>
      </c>
      <c r="F116" s="485">
        <f t="shared" si="18"/>
        <v>775891</v>
      </c>
      <c r="G116" s="485">
        <f t="shared" si="19"/>
        <v>791831</v>
      </c>
      <c r="H116" s="613">
        <f t="shared" si="20"/>
        <v>117248.28657880201</v>
      </c>
      <c r="I116" s="614">
        <f t="shared" si="21"/>
        <v>117248.28657880201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2035</v>
      </c>
      <c r="D117" s="346">
        <f>IF(F116+SUM(E$99:E116)=D$92,F116,D$92-SUM(E$99:E116))</f>
        <v>775891</v>
      </c>
      <c r="E117" s="484">
        <f t="shared" si="17"/>
        <v>31880</v>
      </c>
      <c r="F117" s="485">
        <f t="shared" si="18"/>
        <v>744011</v>
      </c>
      <c r="G117" s="485">
        <f t="shared" si="19"/>
        <v>759951</v>
      </c>
      <c r="H117" s="613">
        <f t="shared" si="20"/>
        <v>113811.26406246683</v>
      </c>
      <c r="I117" s="614">
        <f t="shared" si="21"/>
        <v>113811.26406246683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2036</v>
      </c>
      <c r="D118" s="346">
        <f>IF(F117+SUM(E$99:E117)=D$92,F117,D$92-SUM(E$99:E117))</f>
        <v>744011</v>
      </c>
      <c r="E118" s="484">
        <f t="shared" si="17"/>
        <v>31880</v>
      </c>
      <c r="F118" s="485">
        <f t="shared" si="18"/>
        <v>712131</v>
      </c>
      <c r="G118" s="485">
        <f t="shared" si="19"/>
        <v>728071</v>
      </c>
      <c r="H118" s="613">
        <f t="shared" si="20"/>
        <v>110374.24154613164</v>
      </c>
      <c r="I118" s="614">
        <f t="shared" si="21"/>
        <v>110374.24154613164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2037</v>
      </c>
      <c r="D119" s="346">
        <f>IF(F118+SUM(E$99:E118)=D$92,F118,D$92-SUM(E$99:E118))</f>
        <v>712131</v>
      </c>
      <c r="E119" s="484">
        <f t="shared" si="17"/>
        <v>31880</v>
      </c>
      <c r="F119" s="485">
        <f t="shared" si="18"/>
        <v>680251</v>
      </c>
      <c r="G119" s="485">
        <f t="shared" si="19"/>
        <v>696191</v>
      </c>
      <c r="H119" s="613">
        <f t="shared" si="20"/>
        <v>106937.21902979646</v>
      </c>
      <c r="I119" s="614">
        <f t="shared" si="21"/>
        <v>106937.21902979646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2038</v>
      </c>
      <c r="D120" s="346">
        <f>IF(F119+SUM(E$99:E119)=D$92,F119,D$92-SUM(E$99:E119))</f>
        <v>680251</v>
      </c>
      <c r="E120" s="484">
        <f t="shared" si="17"/>
        <v>31880</v>
      </c>
      <c r="F120" s="485">
        <f t="shared" si="18"/>
        <v>648371</v>
      </c>
      <c r="G120" s="485">
        <f t="shared" si="19"/>
        <v>664311</v>
      </c>
      <c r="H120" s="613">
        <f t="shared" si="20"/>
        <v>103500.19651346127</v>
      </c>
      <c r="I120" s="614">
        <f t="shared" si="21"/>
        <v>103500.19651346127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2039</v>
      </c>
      <c r="D121" s="346">
        <f>IF(F120+SUM(E$99:E120)=D$92,F120,D$92-SUM(E$99:E120))</f>
        <v>648371</v>
      </c>
      <c r="E121" s="484">
        <f t="shared" si="17"/>
        <v>31880</v>
      </c>
      <c r="F121" s="485">
        <f t="shared" si="18"/>
        <v>616491</v>
      </c>
      <c r="G121" s="485">
        <f t="shared" si="19"/>
        <v>632431</v>
      </c>
      <c r="H121" s="613">
        <f t="shared" si="20"/>
        <v>100063.17399712608</v>
      </c>
      <c r="I121" s="614">
        <f t="shared" si="21"/>
        <v>100063.17399712608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2040</v>
      </c>
      <c r="D122" s="346">
        <f>IF(F121+SUM(E$99:E121)=D$92,F121,D$92-SUM(E$99:E121))</f>
        <v>616491</v>
      </c>
      <c r="E122" s="484">
        <f t="shared" si="17"/>
        <v>31880</v>
      </c>
      <c r="F122" s="485">
        <f t="shared" si="18"/>
        <v>584611</v>
      </c>
      <c r="G122" s="485">
        <f t="shared" si="19"/>
        <v>600551</v>
      </c>
      <c r="H122" s="613">
        <f t="shared" si="20"/>
        <v>96626.151480790897</v>
      </c>
      <c r="I122" s="614">
        <f t="shared" si="21"/>
        <v>96626.151480790897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2041</v>
      </c>
      <c r="D123" s="346">
        <f>IF(F122+SUM(E$99:E122)=D$92,F122,D$92-SUM(E$99:E122))</f>
        <v>584611</v>
      </c>
      <c r="E123" s="484">
        <f t="shared" si="17"/>
        <v>31880</v>
      </c>
      <c r="F123" s="485">
        <f t="shared" si="18"/>
        <v>552731</v>
      </c>
      <c r="G123" s="485">
        <f t="shared" si="19"/>
        <v>568671</v>
      </c>
      <c r="H123" s="613">
        <f t="shared" si="20"/>
        <v>93189.128964455711</v>
      </c>
      <c r="I123" s="614">
        <f t="shared" si="21"/>
        <v>93189.128964455711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2042</v>
      </c>
      <c r="D124" s="346">
        <f>IF(F123+SUM(E$99:E123)=D$92,F123,D$92-SUM(E$99:E123))</f>
        <v>552731</v>
      </c>
      <c r="E124" s="484">
        <f t="shared" si="17"/>
        <v>31880</v>
      </c>
      <c r="F124" s="485">
        <f t="shared" si="18"/>
        <v>520851</v>
      </c>
      <c r="G124" s="485">
        <f t="shared" si="19"/>
        <v>536791</v>
      </c>
      <c r="H124" s="613">
        <f t="shared" si="20"/>
        <v>89752.10644812051</v>
      </c>
      <c r="I124" s="614">
        <f t="shared" si="21"/>
        <v>89752.10644812051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2043</v>
      </c>
      <c r="D125" s="346">
        <f>IF(F124+SUM(E$99:E124)=D$92,F124,D$92-SUM(E$99:E124))</f>
        <v>520851</v>
      </c>
      <c r="E125" s="484">
        <f t="shared" si="17"/>
        <v>31880</v>
      </c>
      <c r="F125" s="485">
        <f t="shared" si="18"/>
        <v>488971</v>
      </c>
      <c r="G125" s="485">
        <f t="shared" si="19"/>
        <v>504911</v>
      </c>
      <c r="H125" s="613">
        <f t="shared" si="20"/>
        <v>86315.083931785324</v>
      </c>
      <c r="I125" s="614">
        <f t="shared" si="21"/>
        <v>86315.083931785324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2044</v>
      </c>
      <c r="D126" s="346">
        <f>IF(F125+SUM(E$99:E125)=D$92,F125,D$92-SUM(E$99:E125))</f>
        <v>488971</v>
      </c>
      <c r="E126" s="484">
        <f t="shared" si="17"/>
        <v>31880</v>
      </c>
      <c r="F126" s="485">
        <f t="shared" si="18"/>
        <v>457091</v>
      </c>
      <c r="G126" s="485">
        <f t="shared" si="19"/>
        <v>473031</v>
      </c>
      <c r="H126" s="613">
        <f t="shared" si="20"/>
        <v>82878.061415450138</v>
      </c>
      <c r="I126" s="614">
        <f t="shared" si="21"/>
        <v>82878.061415450138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2045</v>
      </c>
      <c r="D127" s="346">
        <f>IF(F126+SUM(E$99:E126)=D$92,F126,D$92-SUM(E$99:E126))</f>
        <v>457091</v>
      </c>
      <c r="E127" s="484">
        <f t="shared" si="17"/>
        <v>31880</v>
      </c>
      <c r="F127" s="485">
        <f t="shared" si="18"/>
        <v>425211</v>
      </c>
      <c r="G127" s="485">
        <f t="shared" si="19"/>
        <v>441151</v>
      </c>
      <c r="H127" s="613">
        <f t="shared" si="20"/>
        <v>79441.038899114938</v>
      </c>
      <c r="I127" s="614">
        <f t="shared" si="21"/>
        <v>79441.038899114938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2046</v>
      </c>
      <c r="D128" s="346">
        <f>IF(F127+SUM(E$99:E127)=D$92,F127,D$92-SUM(E$99:E127))</f>
        <v>425211</v>
      </c>
      <c r="E128" s="484">
        <f t="shared" si="17"/>
        <v>31880</v>
      </c>
      <c r="F128" s="485">
        <f t="shared" si="18"/>
        <v>393331</v>
      </c>
      <c r="G128" s="485">
        <f t="shared" si="19"/>
        <v>409271</v>
      </c>
      <c r="H128" s="613">
        <f t="shared" si="20"/>
        <v>76004.016382779751</v>
      </c>
      <c r="I128" s="614">
        <f t="shared" si="21"/>
        <v>76004.016382779751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2047</v>
      </c>
      <c r="D129" s="346">
        <f>IF(F128+SUM(E$99:E128)=D$92,F128,D$92-SUM(E$99:E128))</f>
        <v>393331</v>
      </c>
      <c r="E129" s="484">
        <f t="shared" si="17"/>
        <v>31880</v>
      </c>
      <c r="F129" s="485">
        <f t="shared" si="18"/>
        <v>361451</v>
      </c>
      <c r="G129" s="485">
        <f t="shared" si="19"/>
        <v>377391</v>
      </c>
      <c r="H129" s="613">
        <f t="shared" si="20"/>
        <v>72566.993866444565</v>
      </c>
      <c r="I129" s="614">
        <f t="shared" si="21"/>
        <v>72566.993866444565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2048</v>
      </c>
      <c r="D130" s="346">
        <f>IF(F129+SUM(E$99:E129)=D$92,F129,D$92-SUM(E$99:E129))</f>
        <v>361451</v>
      </c>
      <c r="E130" s="484">
        <f t="shared" si="17"/>
        <v>31880</v>
      </c>
      <c r="F130" s="485">
        <f t="shared" si="18"/>
        <v>329571</v>
      </c>
      <c r="G130" s="485">
        <f t="shared" si="19"/>
        <v>345511</v>
      </c>
      <c r="H130" s="613">
        <f t="shared" si="20"/>
        <v>69129.971350109379</v>
      </c>
      <c r="I130" s="614">
        <f t="shared" si="21"/>
        <v>69129.971350109379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2049</v>
      </c>
      <c r="D131" s="346">
        <f>IF(F130+SUM(E$99:E130)=D$92,F130,D$92-SUM(E$99:E130))</f>
        <v>329571</v>
      </c>
      <c r="E131" s="484">
        <f t="shared" si="17"/>
        <v>31880</v>
      </c>
      <c r="F131" s="485">
        <f t="shared" si="18"/>
        <v>297691</v>
      </c>
      <c r="G131" s="485">
        <f t="shared" si="19"/>
        <v>313631</v>
      </c>
      <c r="H131" s="613">
        <f t="shared" si="20"/>
        <v>65692.948833774193</v>
      </c>
      <c r="I131" s="614">
        <f t="shared" si="21"/>
        <v>65692.948833774193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2050</v>
      </c>
      <c r="D132" s="346">
        <f>IF(F131+SUM(E$99:E131)=D$92,F131,D$92-SUM(E$99:E131))</f>
        <v>297691</v>
      </c>
      <c r="E132" s="484">
        <f t="shared" si="17"/>
        <v>31880</v>
      </c>
      <c r="F132" s="485">
        <f t="shared" si="18"/>
        <v>265811</v>
      </c>
      <c r="G132" s="485">
        <f t="shared" si="19"/>
        <v>281751</v>
      </c>
      <c r="H132" s="613">
        <f t="shared" si="20"/>
        <v>62255.926317439007</v>
      </c>
      <c r="I132" s="614">
        <f t="shared" si="21"/>
        <v>62255.926317439007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2051</v>
      </c>
      <c r="D133" s="346">
        <f>IF(F132+SUM(E$99:E132)=D$92,F132,D$92-SUM(E$99:E132))</f>
        <v>265811</v>
      </c>
      <c r="E133" s="484">
        <f t="shared" si="17"/>
        <v>31880</v>
      </c>
      <c r="F133" s="485">
        <f t="shared" si="18"/>
        <v>233931</v>
      </c>
      <c r="G133" s="485">
        <f t="shared" si="19"/>
        <v>249871</v>
      </c>
      <c r="H133" s="613">
        <f t="shared" si="20"/>
        <v>58818.903801103821</v>
      </c>
      <c r="I133" s="614">
        <f t="shared" si="21"/>
        <v>58818.903801103821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2052</v>
      </c>
      <c r="D134" s="346">
        <f>IF(F133+SUM(E$99:E133)=D$92,F133,D$92-SUM(E$99:E133))</f>
        <v>233931</v>
      </c>
      <c r="E134" s="484">
        <f t="shared" si="17"/>
        <v>31880</v>
      </c>
      <c r="F134" s="485">
        <f t="shared" si="18"/>
        <v>202051</v>
      </c>
      <c r="G134" s="485">
        <f t="shared" si="19"/>
        <v>217991</v>
      </c>
      <c r="H134" s="613">
        <f t="shared" si="20"/>
        <v>55381.881284768635</v>
      </c>
      <c r="I134" s="614">
        <f t="shared" si="21"/>
        <v>55381.881284768635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2053</v>
      </c>
      <c r="D135" s="346">
        <f>IF(F134+SUM(E$99:E134)=D$92,F134,D$92-SUM(E$99:E134))</f>
        <v>202051</v>
      </c>
      <c r="E135" s="484">
        <f t="shared" si="17"/>
        <v>31880</v>
      </c>
      <c r="F135" s="485">
        <f t="shared" si="18"/>
        <v>170171</v>
      </c>
      <c r="G135" s="485">
        <f t="shared" si="19"/>
        <v>186111</v>
      </c>
      <c r="H135" s="613">
        <f t="shared" si="20"/>
        <v>51944.858768433449</v>
      </c>
      <c r="I135" s="614">
        <f t="shared" si="21"/>
        <v>51944.858768433449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2054</v>
      </c>
      <c r="D136" s="346">
        <f>IF(F135+SUM(E$99:E135)=D$92,F135,D$92-SUM(E$99:E135))</f>
        <v>170171</v>
      </c>
      <c r="E136" s="484">
        <f t="shared" si="17"/>
        <v>31880</v>
      </c>
      <c r="F136" s="485">
        <f t="shared" si="18"/>
        <v>138291</v>
      </c>
      <c r="G136" s="485">
        <f t="shared" si="19"/>
        <v>154231</v>
      </c>
      <c r="H136" s="613">
        <f t="shared" si="20"/>
        <v>48507.836252098255</v>
      </c>
      <c r="I136" s="614">
        <f t="shared" si="21"/>
        <v>48507.836252098255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2055</v>
      </c>
      <c r="D137" s="346">
        <f>IF(F136+SUM(E$99:E136)=D$92,F136,D$92-SUM(E$99:E136))</f>
        <v>138291</v>
      </c>
      <c r="E137" s="484">
        <f t="shared" si="17"/>
        <v>31880</v>
      </c>
      <c r="F137" s="485">
        <f t="shared" si="18"/>
        <v>106411</v>
      </c>
      <c r="G137" s="485">
        <f t="shared" si="19"/>
        <v>122351</v>
      </c>
      <c r="H137" s="613">
        <f t="shared" si="20"/>
        <v>45070.813735763069</v>
      </c>
      <c r="I137" s="614">
        <f t="shared" si="21"/>
        <v>45070.813735763069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2056</v>
      </c>
      <c r="D138" s="346">
        <f>IF(F137+SUM(E$99:E137)=D$92,F137,D$92-SUM(E$99:E137))</f>
        <v>106411</v>
      </c>
      <c r="E138" s="484">
        <f t="shared" si="17"/>
        <v>31880</v>
      </c>
      <c r="F138" s="485">
        <f t="shared" si="18"/>
        <v>74531</v>
      </c>
      <c r="G138" s="485">
        <f t="shared" si="19"/>
        <v>90471</v>
      </c>
      <c r="H138" s="613">
        <f t="shared" si="20"/>
        <v>41633.791219427876</v>
      </c>
      <c r="I138" s="614">
        <f t="shared" si="21"/>
        <v>41633.791219427876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2057</v>
      </c>
      <c r="D139" s="346">
        <f>IF(F138+SUM(E$99:E138)=D$92,F138,D$92-SUM(E$99:E138))</f>
        <v>74531</v>
      </c>
      <c r="E139" s="484">
        <f t="shared" si="17"/>
        <v>31880</v>
      </c>
      <c r="F139" s="485">
        <f t="shared" si="18"/>
        <v>42651</v>
      </c>
      <c r="G139" s="485">
        <f t="shared" si="19"/>
        <v>58591</v>
      </c>
      <c r="H139" s="613">
        <f t="shared" si="20"/>
        <v>38196.76870309269</v>
      </c>
      <c r="I139" s="614">
        <f t="shared" si="21"/>
        <v>38196.76870309269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2058</v>
      </c>
      <c r="D140" s="346">
        <f>IF(F139+SUM(E$99:E139)=D$92,F139,D$92-SUM(E$99:E139))</f>
        <v>42651</v>
      </c>
      <c r="E140" s="484">
        <f t="shared" si="17"/>
        <v>31880</v>
      </c>
      <c r="F140" s="485">
        <f t="shared" si="18"/>
        <v>10771</v>
      </c>
      <c r="G140" s="485">
        <f t="shared" si="19"/>
        <v>26711</v>
      </c>
      <c r="H140" s="613">
        <f t="shared" si="20"/>
        <v>34759.746186757504</v>
      </c>
      <c r="I140" s="614">
        <f t="shared" si="21"/>
        <v>34759.746186757504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2059</v>
      </c>
      <c r="D141" s="346">
        <f>IF(F140+SUM(E$99:E140)=D$92,F140,D$92-SUM(E$99:E140))</f>
        <v>10771</v>
      </c>
      <c r="E141" s="484">
        <f t="shared" si="17"/>
        <v>10771</v>
      </c>
      <c r="F141" s="485">
        <f t="shared" si="18"/>
        <v>0</v>
      </c>
      <c r="G141" s="485">
        <f t="shared" si="19"/>
        <v>5385.5</v>
      </c>
      <c r="H141" s="613">
        <f t="shared" si="20"/>
        <v>11351.617464294955</v>
      </c>
      <c r="I141" s="614">
        <f t="shared" si="21"/>
        <v>11351.617464294955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20"/>
        <v>0</v>
      </c>
      <c r="I142" s="614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20"/>
        <v>0</v>
      </c>
      <c r="I143" s="614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20"/>
        <v>0</v>
      </c>
      <c r="I144" s="614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20"/>
        <v>0</v>
      </c>
      <c r="I145" s="614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20"/>
        <v>0</v>
      </c>
      <c r="I146" s="614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20"/>
        <v>0</v>
      </c>
      <c r="I147" s="614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20"/>
        <v>0</v>
      </c>
      <c r="I148" s="614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20"/>
        <v>0</v>
      </c>
      <c r="I149" s="614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20"/>
        <v>0</v>
      </c>
      <c r="I150" s="614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20"/>
        <v>0</v>
      </c>
      <c r="I151" s="614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20"/>
        <v>0</v>
      </c>
      <c r="I152" s="614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20"/>
        <v>0</v>
      </c>
      <c r="I153" s="614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20"/>
        <v>0</v>
      </c>
      <c r="I154" s="616">
        <f t="shared" si="21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6" t="s">
        <v>77</v>
      </c>
      <c r="D155" s="347"/>
      <c r="E155" s="347">
        <f>SUM(E99:E154)</f>
        <v>1338978</v>
      </c>
      <c r="F155" s="347"/>
      <c r="G155" s="347"/>
      <c r="H155" s="347">
        <f>SUM(H99:H154)</f>
        <v>4356110.2150181886</v>
      </c>
      <c r="I155" s="347">
        <f>SUM(I99:I154)</f>
        <v>4356110.2150181886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7" priority="1" stopIfTrue="1" operator="equal">
      <formula>$I$10</formula>
    </cfRule>
  </conditionalFormatting>
  <conditionalFormatting sqref="C99:C154">
    <cfRule type="cellIs" dxfId="26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P162"/>
  <sheetViews>
    <sheetView view="pageBreakPreview" zoomScale="78" zoomScaleNormal="100" zoomScaleSheetLayoutView="78" workbookViewId="0">
      <selection activeCell="D21" sqref="D2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20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241564.55964853393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241564.55964853393</v>
      </c>
      <c r="O6" s="232"/>
      <c r="P6" s="232"/>
    </row>
    <row r="7" spans="1:16" ht="13.5" thickBot="1">
      <c r="C7" s="431" t="s">
        <v>46</v>
      </c>
      <c r="D7" s="599" t="s">
        <v>282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297</v>
      </c>
      <c r="E9" s="577" t="s">
        <v>298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1961221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46695.738095238092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v>2017</v>
      </c>
      <c r="D17" s="584">
        <v>0</v>
      </c>
      <c r="E17" s="608">
        <v>0</v>
      </c>
      <c r="F17" s="584">
        <v>483000</v>
      </c>
      <c r="G17" s="608">
        <v>30733</v>
      </c>
      <c r="H17" s="587">
        <v>30733</v>
      </c>
      <c r="I17" s="475">
        <f t="shared" ref="I17:I72" si="0">H17-G17</f>
        <v>0</v>
      </c>
      <c r="J17" s="475"/>
      <c r="K17" s="477">
        <f>+G17</f>
        <v>30733</v>
      </c>
      <c r="L17" s="477">
        <f t="shared" ref="L17:L72" si="1">IF(K17&lt;&gt;0,+G17-K17,0)</f>
        <v>0</v>
      </c>
      <c r="M17" s="477">
        <f>+H17</f>
        <v>30733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2018</v>
      </c>
      <c r="D18" s="584">
        <v>483000</v>
      </c>
      <c r="E18" s="585">
        <v>10555.555555555555</v>
      </c>
      <c r="F18" s="584">
        <v>1140000</v>
      </c>
      <c r="G18" s="585">
        <v>78818.151758984837</v>
      </c>
      <c r="H18" s="587">
        <v>78818.151758984837</v>
      </c>
      <c r="I18" s="475">
        <f t="shared" si="0"/>
        <v>0</v>
      </c>
      <c r="J18" s="475"/>
      <c r="K18" s="478">
        <f>+G18</f>
        <v>78818.151758984837</v>
      </c>
      <c r="L18" s="478">
        <f t="shared" si="1"/>
        <v>0</v>
      </c>
      <c r="M18" s="478">
        <f>+H18</f>
        <v>78818.151758984837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2019</v>
      </c>
      <c r="D19" s="584">
        <v>1129444.4444444445</v>
      </c>
      <c r="E19" s="585">
        <v>28500</v>
      </c>
      <c r="F19" s="584">
        <v>1100944.4444444445</v>
      </c>
      <c r="G19" s="585">
        <v>153018.85490841107</v>
      </c>
      <c r="H19" s="587">
        <v>153018.85490841107</v>
      </c>
      <c r="I19" s="475">
        <f t="shared" si="0"/>
        <v>0</v>
      </c>
      <c r="J19" s="475"/>
      <c r="K19" s="478">
        <f>+G19</f>
        <v>153018.85490841107</v>
      </c>
      <c r="L19" s="478">
        <f t="shared" ref="L19" si="4">IF(K19&lt;&gt;0,+G19-K19,0)</f>
        <v>0</v>
      </c>
      <c r="M19" s="478">
        <f>+H19</f>
        <v>153018.85490841107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2020</v>
      </c>
      <c r="D20" s="584">
        <v>1883840.111111111</v>
      </c>
      <c r="E20" s="585">
        <v>45707.833333333336</v>
      </c>
      <c r="F20" s="584">
        <v>1838132.2777777778</v>
      </c>
      <c r="G20" s="585">
        <v>246703.23209680832</v>
      </c>
      <c r="H20" s="587">
        <v>246703.23209680832</v>
      </c>
      <c r="I20" s="475">
        <f t="shared" si="0"/>
        <v>0</v>
      </c>
      <c r="J20" s="475"/>
      <c r="K20" s="478">
        <f>+G20</f>
        <v>246703.23209680832</v>
      </c>
      <c r="L20" s="478">
        <f t="shared" ref="L20" si="6">IF(K20&lt;&gt;0,+G20-K20,0)</f>
        <v>0</v>
      </c>
      <c r="M20" s="478">
        <f>+H20</f>
        <v>246703.23209680832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5"/>
        <v>IU</v>
      </c>
      <c r="C21" s="472">
        <f>IF(D11="","-",+C20+1)</f>
        <v>2021</v>
      </c>
      <c r="D21" s="584">
        <v>1876457.611111111</v>
      </c>
      <c r="E21" s="585">
        <v>45609.79069767442</v>
      </c>
      <c r="F21" s="584">
        <v>1830847.8204134365</v>
      </c>
      <c r="G21" s="585">
        <v>245473.68855677257</v>
      </c>
      <c r="H21" s="587">
        <v>245473.68855677257</v>
      </c>
      <c r="I21" s="475">
        <f t="shared" si="0"/>
        <v>0</v>
      </c>
      <c r="J21" s="475"/>
      <c r="K21" s="478">
        <f>+G21</f>
        <v>245473.68855677257</v>
      </c>
      <c r="L21" s="478">
        <f t="shared" ref="L21" si="7">IF(K21&lt;&gt;0,+G21-K21,0)</f>
        <v>0</v>
      </c>
      <c r="M21" s="478">
        <f>+H21</f>
        <v>245473.68855677257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1830847.8204134365</v>
      </c>
      <c r="E22" s="484">
        <f t="shared" ref="E22:E72" si="8">IF(+I$14&lt;F21,I$14,D22)</f>
        <v>46695.738095238092</v>
      </c>
      <c r="F22" s="485">
        <f t="shared" ref="F22:F72" si="9">+D22-E22</f>
        <v>1784152.0823181984</v>
      </c>
      <c r="G22" s="486">
        <f t="shared" ref="G22:G72" si="10">(D22+F22)/2*I$12+E22</f>
        <v>241564.55964853393</v>
      </c>
      <c r="H22" s="455">
        <f t="shared" ref="H22:H72" si="11">+(D22+F22)/2*I$13+E22</f>
        <v>241564.55964853393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1784152.0823181984</v>
      </c>
      <c r="E23" s="484">
        <f t="shared" si="8"/>
        <v>46695.738095238092</v>
      </c>
      <c r="F23" s="485">
        <f t="shared" si="9"/>
        <v>1737456.3442229603</v>
      </c>
      <c r="G23" s="486">
        <f t="shared" si="10"/>
        <v>236530.23395059718</v>
      </c>
      <c r="H23" s="455">
        <f t="shared" si="11"/>
        <v>236530.23395059718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1737456.3442229603</v>
      </c>
      <c r="E24" s="484">
        <f t="shared" si="8"/>
        <v>46695.738095238092</v>
      </c>
      <c r="F24" s="485">
        <f t="shared" si="9"/>
        <v>1690760.6061277222</v>
      </c>
      <c r="G24" s="486">
        <f t="shared" si="10"/>
        <v>231495.90825266042</v>
      </c>
      <c r="H24" s="455">
        <f t="shared" si="11"/>
        <v>231495.90825266042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1690760.6061277222</v>
      </c>
      <c r="E25" s="484">
        <f t="shared" si="8"/>
        <v>46695.738095238092</v>
      </c>
      <c r="F25" s="485">
        <f t="shared" si="9"/>
        <v>1644064.8680324841</v>
      </c>
      <c r="G25" s="486">
        <f t="shared" si="10"/>
        <v>226461.58255472366</v>
      </c>
      <c r="H25" s="455">
        <f t="shared" si="11"/>
        <v>226461.58255472366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1644064.8680324841</v>
      </c>
      <c r="E26" s="484">
        <f t="shared" si="8"/>
        <v>46695.738095238092</v>
      </c>
      <c r="F26" s="485">
        <f t="shared" si="9"/>
        <v>1597369.129937246</v>
      </c>
      <c r="G26" s="486">
        <f t="shared" si="10"/>
        <v>221427.25685678684</v>
      </c>
      <c r="H26" s="455">
        <f t="shared" si="11"/>
        <v>221427.25685678684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1597369.129937246</v>
      </c>
      <c r="E27" s="484">
        <f t="shared" si="8"/>
        <v>46695.738095238092</v>
      </c>
      <c r="F27" s="485">
        <f t="shared" si="9"/>
        <v>1550673.3918420079</v>
      </c>
      <c r="G27" s="486">
        <f t="shared" si="10"/>
        <v>216392.93115885014</v>
      </c>
      <c r="H27" s="455">
        <f t="shared" si="11"/>
        <v>216392.93115885014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1550673.3918420079</v>
      </c>
      <c r="E28" s="484">
        <f t="shared" si="8"/>
        <v>46695.738095238092</v>
      </c>
      <c r="F28" s="485">
        <f t="shared" si="9"/>
        <v>1503977.6537467698</v>
      </c>
      <c r="G28" s="486">
        <f t="shared" si="10"/>
        <v>211358.60546091333</v>
      </c>
      <c r="H28" s="455">
        <f t="shared" si="11"/>
        <v>211358.60546091333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1503977.6537467698</v>
      </c>
      <c r="E29" s="484">
        <f t="shared" si="8"/>
        <v>46695.738095238092</v>
      </c>
      <c r="F29" s="485">
        <f t="shared" si="9"/>
        <v>1457281.9156515317</v>
      </c>
      <c r="G29" s="486">
        <f t="shared" si="10"/>
        <v>206324.27976297657</v>
      </c>
      <c r="H29" s="455">
        <f t="shared" si="11"/>
        <v>206324.27976297657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1457281.9156515317</v>
      </c>
      <c r="E30" s="484">
        <f t="shared" si="8"/>
        <v>46695.738095238092</v>
      </c>
      <c r="F30" s="485">
        <f t="shared" si="9"/>
        <v>1410586.1775562936</v>
      </c>
      <c r="G30" s="486">
        <f t="shared" si="10"/>
        <v>201289.95406503981</v>
      </c>
      <c r="H30" s="455">
        <f t="shared" si="11"/>
        <v>201289.95406503981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1410586.1775562936</v>
      </c>
      <c r="E31" s="484">
        <f t="shared" si="8"/>
        <v>46695.738095238092</v>
      </c>
      <c r="F31" s="485">
        <f t="shared" si="9"/>
        <v>1363890.4394610554</v>
      </c>
      <c r="G31" s="486">
        <f t="shared" si="10"/>
        <v>196255.62836710305</v>
      </c>
      <c r="H31" s="455">
        <f t="shared" si="11"/>
        <v>196255.62836710305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1363890.4394610554</v>
      </c>
      <c r="E32" s="484">
        <f t="shared" si="8"/>
        <v>46695.738095238092</v>
      </c>
      <c r="F32" s="485">
        <f t="shared" si="9"/>
        <v>1317194.7013658173</v>
      </c>
      <c r="G32" s="486">
        <f t="shared" si="10"/>
        <v>191221.30266916624</v>
      </c>
      <c r="H32" s="455">
        <f t="shared" si="11"/>
        <v>191221.30266916624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1317194.7013658173</v>
      </c>
      <c r="E33" s="484">
        <f t="shared" si="8"/>
        <v>46695.738095238092</v>
      </c>
      <c r="F33" s="485">
        <f t="shared" si="9"/>
        <v>1270498.9632705792</v>
      </c>
      <c r="G33" s="486">
        <f t="shared" si="10"/>
        <v>186186.97697122948</v>
      </c>
      <c r="H33" s="455">
        <f t="shared" si="11"/>
        <v>186186.97697122948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1270498.9632705792</v>
      </c>
      <c r="E34" s="484">
        <f t="shared" si="8"/>
        <v>46695.738095238092</v>
      </c>
      <c r="F34" s="485">
        <f t="shared" si="9"/>
        <v>1223803.2251753411</v>
      </c>
      <c r="G34" s="486">
        <f t="shared" si="10"/>
        <v>181152.65127329272</v>
      </c>
      <c r="H34" s="455">
        <f t="shared" si="11"/>
        <v>181152.65127329272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1223803.2251753411</v>
      </c>
      <c r="E35" s="484">
        <f t="shared" si="8"/>
        <v>46695.738095238092</v>
      </c>
      <c r="F35" s="485">
        <f t="shared" si="9"/>
        <v>1177107.487080103</v>
      </c>
      <c r="G35" s="486">
        <f t="shared" si="10"/>
        <v>176118.32557535596</v>
      </c>
      <c r="H35" s="455">
        <f t="shared" si="11"/>
        <v>176118.32557535596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1177107.487080103</v>
      </c>
      <c r="E36" s="484">
        <f t="shared" si="8"/>
        <v>46695.738095238092</v>
      </c>
      <c r="F36" s="485">
        <f t="shared" si="9"/>
        <v>1130411.7489848649</v>
      </c>
      <c r="G36" s="486">
        <f t="shared" si="10"/>
        <v>171083.99987741918</v>
      </c>
      <c r="H36" s="455">
        <f t="shared" si="11"/>
        <v>171083.99987741918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1130411.7489848649</v>
      </c>
      <c r="E37" s="484">
        <f t="shared" si="8"/>
        <v>46695.738095238092</v>
      </c>
      <c r="F37" s="485">
        <f t="shared" si="9"/>
        <v>1083716.0108896268</v>
      </c>
      <c r="G37" s="486">
        <f t="shared" si="10"/>
        <v>166049.67417948245</v>
      </c>
      <c r="H37" s="455">
        <f t="shared" si="11"/>
        <v>166049.67417948245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1083716.0108896268</v>
      </c>
      <c r="E38" s="484">
        <f t="shared" si="8"/>
        <v>46695.738095238092</v>
      </c>
      <c r="F38" s="485">
        <f t="shared" si="9"/>
        <v>1037020.2727943887</v>
      </c>
      <c r="G38" s="486">
        <f t="shared" si="10"/>
        <v>161015.34848154563</v>
      </c>
      <c r="H38" s="455">
        <f t="shared" si="11"/>
        <v>161015.34848154563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1037020.2727943887</v>
      </c>
      <c r="E39" s="484">
        <f t="shared" si="8"/>
        <v>46695.738095238092</v>
      </c>
      <c r="F39" s="485">
        <f t="shared" si="9"/>
        <v>990324.53469915059</v>
      </c>
      <c r="G39" s="486">
        <f t="shared" si="10"/>
        <v>155981.02278360887</v>
      </c>
      <c r="H39" s="455">
        <f t="shared" si="11"/>
        <v>155981.02278360887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990324.53469915059</v>
      </c>
      <c r="E40" s="484">
        <f t="shared" si="8"/>
        <v>46695.738095238092</v>
      </c>
      <c r="F40" s="485">
        <f t="shared" si="9"/>
        <v>943628.79660391249</v>
      </c>
      <c r="G40" s="486">
        <f t="shared" si="10"/>
        <v>150946.69708567212</v>
      </c>
      <c r="H40" s="455">
        <f t="shared" si="11"/>
        <v>150946.69708567212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943628.79660391249</v>
      </c>
      <c r="E41" s="484">
        <f t="shared" si="8"/>
        <v>46695.738095238092</v>
      </c>
      <c r="F41" s="485">
        <f t="shared" si="9"/>
        <v>896933.05850867438</v>
      </c>
      <c r="G41" s="486">
        <f t="shared" si="10"/>
        <v>145912.37138773536</v>
      </c>
      <c r="H41" s="455">
        <f t="shared" si="11"/>
        <v>145912.37138773536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896933.05850867438</v>
      </c>
      <c r="E42" s="484">
        <f t="shared" si="8"/>
        <v>46695.738095238092</v>
      </c>
      <c r="F42" s="485">
        <f t="shared" si="9"/>
        <v>850237.32041343627</v>
      </c>
      <c r="G42" s="486">
        <f t="shared" si="10"/>
        <v>140878.0456897986</v>
      </c>
      <c r="H42" s="455">
        <f t="shared" si="11"/>
        <v>140878.0456897986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850237.32041343627</v>
      </c>
      <c r="E43" s="484">
        <f t="shared" si="8"/>
        <v>46695.738095238092</v>
      </c>
      <c r="F43" s="485">
        <f t="shared" si="9"/>
        <v>803541.58231819817</v>
      </c>
      <c r="G43" s="486">
        <f t="shared" si="10"/>
        <v>135843.71999186181</v>
      </c>
      <c r="H43" s="455">
        <f t="shared" si="11"/>
        <v>135843.71999186181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803541.58231819817</v>
      </c>
      <c r="E44" s="484">
        <f t="shared" si="8"/>
        <v>46695.738095238092</v>
      </c>
      <c r="F44" s="485">
        <f t="shared" si="9"/>
        <v>756845.84422296006</v>
      </c>
      <c r="G44" s="486">
        <f t="shared" si="10"/>
        <v>130809.39429392504</v>
      </c>
      <c r="H44" s="455">
        <f t="shared" si="11"/>
        <v>130809.39429392504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756845.84422296006</v>
      </c>
      <c r="E45" s="484">
        <f t="shared" si="8"/>
        <v>46695.738095238092</v>
      </c>
      <c r="F45" s="485">
        <f t="shared" si="9"/>
        <v>710150.10612772196</v>
      </c>
      <c r="G45" s="486">
        <f t="shared" si="10"/>
        <v>125775.06859598827</v>
      </c>
      <c r="H45" s="455">
        <f t="shared" si="11"/>
        <v>125775.06859598827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710150.10612772196</v>
      </c>
      <c r="E46" s="484">
        <f t="shared" si="8"/>
        <v>46695.738095238092</v>
      </c>
      <c r="F46" s="485">
        <f t="shared" si="9"/>
        <v>663454.36803248385</v>
      </c>
      <c r="G46" s="486">
        <f t="shared" si="10"/>
        <v>120740.74289805151</v>
      </c>
      <c r="H46" s="455">
        <f t="shared" si="11"/>
        <v>120740.74289805151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663454.36803248385</v>
      </c>
      <c r="E47" s="484">
        <f t="shared" si="8"/>
        <v>46695.738095238092</v>
      </c>
      <c r="F47" s="485">
        <f t="shared" si="9"/>
        <v>616758.62993724574</v>
      </c>
      <c r="G47" s="486">
        <f t="shared" si="10"/>
        <v>115706.41720011474</v>
      </c>
      <c r="H47" s="455">
        <f t="shared" si="11"/>
        <v>115706.41720011474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616758.62993724574</v>
      </c>
      <c r="E48" s="484">
        <f t="shared" si="8"/>
        <v>46695.738095238092</v>
      </c>
      <c r="F48" s="485">
        <f t="shared" si="9"/>
        <v>570062.89184200764</v>
      </c>
      <c r="G48" s="486">
        <f t="shared" si="10"/>
        <v>110672.09150217797</v>
      </c>
      <c r="H48" s="455">
        <f t="shared" si="11"/>
        <v>110672.09150217797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570062.89184200764</v>
      </c>
      <c r="E49" s="484">
        <f t="shared" si="8"/>
        <v>46695.738095238092</v>
      </c>
      <c r="F49" s="485">
        <f t="shared" si="9"/>
        <v>523367.15374676953</v>
      </c>
      <c r="G49" s="486">
        <f t="shared" si="10"/>
        <v>105637.76580424121</v>
      </c>
      <c r="H49" s="455">
        <f t="shared" si="11"/>
        <v>105637.76580424121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523367.15374676953</v>
      </c>
      <c r="E50" s="484">
        <f t="shared" si="8"/>
        <v>46695.738095238092</v>
      </c>
      <c r="F50" s="485">
        <f t="shared" si="9"/>
        <v>476671.41565153142</v>
      </c>
      <c r="G50" s="486">
        <f t="shared" si="10"/>
        <v>100603.44010630444</v>
      </c>
      <c r="H50" s="455">
        <f t="shared" si="11"/>
        <v>100603.44010630444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476671.41565153142</v>
      </c>
      <c r="E51" s="484">
        <f t="shared" si="8"/>
        <v>46695.738095238092</v>
      </c>
      <c r="F51" s="485">
        <f t="shared" si="9"/>
        <v>429975.67755629332</v>
      </c>
      <c r="G51" s="486">
        <f t="shared" si="10"/>
        <v>95569.114408367663</v>
      </c>
      <c r="H51" s="455">
        <f t="shared" si="11"/>
        <v>95569.114408367663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429975.67755629332</v>
      </c>
      <c r="E52" s="484">
        <f t="shared" si="8"/>
        <v>46695.738095238092</v>
      </c>
      <c r="F52" s="485">
        <f t="shared" si="9"/>
        <v>383279.93946105521</v>
      </c>
      <c r="G52" s="486">
        <f t="shared" si="10"/>
        <v>90534.788710430905</v>
      </c>
      <c r="H52" s="455">
        <f t="shared" si="11"/>
        <v>90534.788710430905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383279.93946105521</v>
      </c>
      <c r="E53" s="484">
        <f t="shared" si="8"/>
        <v>46695.738095238092</v>
      </c>
      <c r="F53" s="485">
        <f t="shared" si="9"/>
        <v>336584.20136581711</v>
      </c>
      <c r="G53" s="486">
        <f t="shared" si="10"/>
        <v>85500.463012494118</v>
      </c>
      <c r="H53" s="455">
        <f t="shared" si="11"/>
        <v>85500.463012494118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336584.20136581711</v>
      </c>
      <c r="E54" s="484">
        <f t="shared" si="8"/>
        <v>46695.738095238092</v>
      </c>
      <c r="F54" s="485">
        <f t="shared" si="9"/>
        <v>289888.463270579</v>
      </c>
      <c r="G54" s="486">
        <f t="shared" si="10"/>
        <v>80466.13731455736</v>
      </c>
      <c r="H54" s="455">
        <f t="shared" si="11"/>
        <v>80466.13731455736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289888.463270579</v>
      </c>
      <c r="E55" s="484">
        <f t="shared" si="8"/>
        <v>46695.738095238092</v>
      </c>
      <c r="F55" s="485">
        <f t="shared" si="9"/>
        <v>243192.72517534089</v>
      </c>
      <c r="G55" s="486">
        <f t="shared" si="10"/>
        <v>75431.811616620587</v>
      </c>
      <c r="H55" s="455">
        <f t="shared" si="11"/>
        <v>75431.811616620587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243192.72517534089</v>
      </c>
      <c r="E56" s="484">
        <f t="shared" si="8"/>
        <v>46695.738095238092</v>
      </c>
      <c r="F56" s="485">
        <f t="shared" si="9"/>
        <v>196496.98708010279</v>
      </c>
      <c r="G56" s="486">
        <f t="shared" si="10"/>
        <v>70397.485918683815</v>
      </c>
      <c r="H56" s="455">
        <f t="shared" si="11"/>
        <v>70397.485918683815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196496.98708010279</v>
      </c>
      <c r="E57" s="484">
        <f t="shared" si="8"/>
        <v>46695.738095238092</v>
      </c>
      <c r="F57" s="485">
        <f t="shared" si="9"/>
        <v>149801.24898486468</v>
      </c>
      <c r="G57" s="486">
        <f t="shared" si="10"/>
        <v>65363.160220747057</v>
      </c>
      <c r="H57" s="455">
        <f t="shared" si="11"/>
        <v>65363.160220747057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149801.24898486468</v>
      </c>
      <c r="E58" s="484">
        <f t="shared" si="8"/>
        <v>46695.738095238092</v>
      </c>
      <c r="F58" s="485">
        <f t="shared" si="9"/>
        <v>103105.51088962659</v>
      </c>
      <c r="G58" s="486">
        <f t="shared" si="10"/>
        <v>60328.834522810284</v>
      </c>
      <c r="H58" s="455">
        <f t="shared" si="11"/>
        <v>60328.834522810284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103105.51088962659</v>
      </c>
      <c r="E59" s="484">
        <f t="shared" si="8"/>
        <v>46695.738095238092</v>
      </c>
      <c r="F59" s="485">
        <f t="shared" si="9"/>
        <v>56409.772794388497</v>
      </c>
      <c r="G59" s="486">
        <f t="shared" si="10"/>
        <v>55294.508824873519</v>
      </c>
      <c r="H59" s="455">
        <f t="shared" si="11"/>
        <v>55294.508824873519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56409.772794388497</v>
      </c>
      <c r="E60" s="484">
        <f t="shared" si="8"/>
        <v>46695.738095238092</v>
      </c>
      <c r="F60" s="485">
        <f t="shared" si="9"/>
        <v>9714.0346991504048</v>
      </c>
      <c r="G60" s="486">
        <f t="shared" si="10"/>
        <v>50260.183126936754</v>
      </c>
      <c r="H60" s="455">
        <f t="shared" si="11"/>
        <v>50260.183126936754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9714.0346991504048</v>
      </c>
      <c r="E61" s="484">
        <f t="shared" si="8"/>
        <v>9714.0346991504048</v>
      </c>
      <c r="F61" s="485">
        <f t="shared" si="9"/>
        <v>0</v>
      </c>
      <c r="G61" s="486">
        <f t="shared" si="10"/>
        <v>10237.675790515543</v>
      </c>
      <c r="H61" s="455">
        <f t="shared" si="11"/>
        <v>10237.675790515543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>
      <c r="C73" s="346" t="s">
        <v>77</v>
      </c>
      <c r="D73" s="347"/>
      <c r="E73" s="347">
        <f>SUM(E17:E72)</f>
        <v>1961220.9999999998</v>
      </c>
      <c r="F73" s="347"/>
      <c r="G73" s="347">
        <f>SUM(G17:G72)</f>
        <v>6455567.0872331709</v>
      </c>
      <c r="H73" s="347">
        <f>SUM(H17:H72)</f>
        <v>6455567.0872331709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20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246703.23209680832</v>
      </c>
      <c r="N87" s="508">
        <f>IF(J92&lt;D11,0,VLOOKUP(J92,C17:O72,11))</f>
        <v>246703.23209680832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263588.79157611891</v>
      </c>
      <c r="N88" s="512">
        <f>IF(J92&lt;D11,0,VLOOKUP(J92,C99:P154,7))</f>
        <v>263588.79157611891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Sayre 138 kV Capacitor Bank Addition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16885.559479310585</v>
      </c>
      <c r="N89" s="517">
        <f>+N88-N87</f>
        <v>16885.559479310585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TP2015202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1961221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46696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0</v>
      </c>
      <c r="F99" s="584">
        <v>1140000</v>
      </c>
      <c r="G99" s="608">
        <v>570000</v>
      </c>
      <c r="H99" s="587">
        <v>72305.937255510624</v>
      </c>
      <c r="I99" s="607">
        <v>72305.937255510624</v>
      </c>
      <c r="J99" s="478">
        <f t="shared" ref="J99:J130" si="12">+I99-H99</f>
        <v>0</v>
      </c>
      <c r="K99" s="478"/>
      <c r="L99" s="477">
        <f>+H99</f>
        <v>72305.937255510624</v>
      </c>
      <c r="M99" s="477">
        <f t="shared" ref="M99:M130" si="13">IF(L99&lt;&gt;0,+H99-L99,0)</f>
        <v>0</v>
      </c>
      <c r="N99" s="477">
        <f>+I99</f>
        <v>72305.937255510624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78">
        <v>1961221</v>
      </c>
      <c r="E100" s="579">
        <v>47835</v>
      </c>
      <c r="F100" s="578">
        <v>1913386</v>
      </c>
      <c r="G100" s="579">
        <v>1937303.5</v>
      </c>
      <c r="H100" s="602">
        <v>247598.16362509641</v>
      </c>
      <c r="I100" s="578">
        <v>247598.16362509641</v>
      </c>
      <c r="J100" s="478">
        <f t="shared" si="12"/>
        <v>0</v>
      </c>
      <c r="K100" s="478"/>
      <c r="L100" s="476">
        <f>H100</f>
        <v>247598.16362509641</v>
      </c>
      <c r="M100" s="348">
        <f>IF(L100&lt;&gt;0,+H100-L100,0)</f>
        <v>0</v>
      </c>
      <c r="N100" s="476">
        <f>I100</f>
        <v>247598.16362509641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2020</v>
      </c>
      <c r="D101" s="578">
        <v>1913386</v>
      </c>
      <c r="E101" s="579">
        <v>45610</v>
      </c>
      <c r="F101" s="578">
        <v>1867776</v>
      </c>
      <c r="G101" s="579">
        <v>1890581</v>
      </c>
      <c r="H101" s="602">
        <v>263588.79157611891</v>
      </c>
      <c r="I101" s="578">
        <v>263588.79157611891</v>
      </c>
      <c r="J101" s="478">
        <f t="shared" si="12"/>
        <v>0</v>
      </c>
      <c r="K101" s="478"/>
      <c r="L101" s="476">
        <f>H101</f>
        <v>263588.79157611891</v>
      </c>
      <c r="M101" s="348">
        <f>IF(L101&lt;&gt;0,+H101-L101,0)</f>
        <v>0</v>
      </c>
      <c r="N101" s="476">
        <f>I101</f>
        <v>263588.79157611891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2021</v>
      </c>
      <c r="D102" s="346">
        <f>IF(F101+SUM(E$99:E101)=D$92,F101,D$92-SUM(E$99:E101))</f>
        <v>1867776</v>
      </c>
      <c r="E102" s="484">
        <f t="shared" ref="E102:E154" si="17">IF(+J$96&lt;F101,J$96,D102)</f>
        <v>46696</v>
      </c>
      <c r="F102" s="485">
        <f t="shared" ref="F102:F154" si="18">+D102-E102</f>
        <v>1821080</v>
      </c>
      <c r="G102" s="485">
        <f t="shared" ref="G102:G154" si="19">+(F102+D102)/2</f>
        <v>1844428</v>
      </c>
      <c r="H102" s="613">
        <f t="shared" ref="H102:H154" si="20">+J$94*G102+E102</f>
        <v>245546.08048177787</v>
      </c>
      <c r="I102" s="614">
        <f t="shared" ref="I102:I154" si="21">+J$95*G102+E102</f>
        <v>245546.08048177787</v>
      </c>
      <c r="J102" s="478">
        <f t="shared" si="12"/>
        <v>0</v>
      </c>
      <c r="K102" s="478"/>
      <c r="L102" s="487"/>
      <c r="M102" s="478">
        <f t="shared" si="13"/>
        <v>0</v>
      </c>
      <c r="N102" s="487"/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2022</v>
      </c>
      <c r="D103" s="346">
        <f>IF(F102+SUM(E$99:E102)=D$92,F102,D$92-SUM(E$99:E102))</f>
        <v>1821080</v>
      </c>
      <c r="E103" s="484">
        <f t="shared" si="17"/>
        <v>46696</v>
      </c>
      <c r="F103" s="485">
        <f t="shared" si="18"/>
        <v>1774384</v>
      </c>
      <c r="G103" s="485">
        <f t="shared" si="19"/>
        <v>1797732</v>
      </c>
      <c r="H103" s="613">
        <f t="shared" si="20"/>
        <v>240511.72654756243</v>
      </c>
      <c r="I103" s="614">
        <f t="shared" si="21"/>
        <v>240511.72654756243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2023</v>
      </c>
      <c r="D104" s="346">
        <f>IF(F103+SUM(E$99:E103)=D$92,F103,D$92-SUM(E$99:E103))</f>
        <v>1774384</v>
      </c>
      <c r="E104" s="484">
        <f t="shared" si="17"/>
        <v>46696</v>
      </c>
      <c r="F104" s="485">
        <f t="shared" si="18"/>
        <v>1727688</v>
      </c>
      <c r="G104" s="485">
        <f t="shared" si="19"/>
        <v>1751036</v>
      </c>
      <c r="H104" s="613">
        <f t="shared" si="20"/>
        <v>235477.37261334699</v>
      </c>
      <c r="I104" s="614">
        <f t="shared" si="21"/>
        <v>235477.37261334699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2024</v>
      </c>
      <c r="D105" s="346">
        <f>IF(F104+SUM(E$99:E104)=D$92,F104,D$92-SUM(E$99:E104))</f>
        <v>1727688</v>
      </c>
      <c r="E105" s="484">
        <f t="shared" si="17"/>
        <v>46696</v>
      </c>
      <c r="F105" s="485">
        <f t="shared" si="18"/>
        <v>1680992</v>
      </c>
      <c r="G105" s="485">
        <f t="shared" si="19"/>
        <v>1704340</v>
      </c>
      <c r="H105" s="613">
        <f t="shared" si="20"/>
        <v>230443.01867913158</v>
      </c>
      <c r="I105" s="614">
        <f t="shared" si="21"/>
        <v>230443.01867913158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2025</v>
      </c>
      <c r="D106" s="346">
        <f>IF(F105+SUM(E$99:E105)=D$92,F105,D$92-SUM(E$99:E105))</f>
        <v>1680992</v>
      </c>
      <c r="E106" s="484">
        <f t="shared" si="17"/>
        <v>46696</v>
      </c>
      <c r="F106" s="485">
        <f t="shared" si="18"/>
        <v>1634296</v>
      </c>
      <c r="G106" s="485">
        <f t="shared" si="19"/>
        <v>1657644</v>
      </c>
      <c r="H106" s="613">
        <f t="shared" si="20"/>
        <v>225408.66474491614</v>
      </c>
      <c r="I106" s="614">
        <f t="shared" si="21"/>
        <v>225408.66474491614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2026</v>
      </c>
      <c r="D107" s="346">
        <f>IF(F106+SUM(E$99:E106)=D$92,F106,D$92-SUM(E$99:E106))</f>
        <v>1634296</v>
      </c>
      <c r="E107" s="484">
        <f t="shared" si="17"/>
        <v>46696</v>
      </c>
      <c r="F107" s="485">
        <f t="shared" si="18"/>
        <v>1587600</v>
      </c>
      <c r="G107" s="485">
        <f t="shared" si="19"/>
        <v>1610948</v>
      </c>
      <c r="H107" s="613">
        <f t="shared" si="20"/>
        <v>220374.3108107007</v>
      </c>
      <c r="I107" s="614">
        <f t="shared" si="21"/>
        <v>220374.3108107007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2027</v>
      </c>
      <c r="D108" s="346">
        <f>IF(F107+SUM(E$99:E107)=D$92,F107,D$92-SUM(E$99:E107))</f>
        <v>1587600</v>
      </c>
      <c r="E108" s="484">
        <f t="shared" si="17"/>
        <v>46696</v>
      </c>
      <c r="F108" s="485">
        <f t="shared" si="18"/>
        <v>1540904</v>
      </c>
      <c r="G108" s="485">
        <f t="shared" si="19"/>
        <v>1564252</v>
      </c>
      <c r="H108" s="613">
        <f t="shared" si="20"/>
        <v>215339.95687648529</v>
      </c>
      <c r="I108" s="614">
        <f t="shared" si="21"/>
        <v>215339.95687648529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2028</v>
      </c>
      <c r="D109" s="346">
        <f>IF(F108+SUM(E$99:E108)=D$92,F108,D$92-SUM(E$99:E108))</f>
        <v>1540904</v>
      </c>
      <c r="E109" s="484">
        <f t="shared" si="17"/>
        <v>46696</v>
      </c>
      <c r="F109" s="485">
        <f t="shared" si="18"/>
        <v>1494208</v>
      </c>
      <c r="G109" s="485">
        <f t="shared" si="19"/>
        <v>1517556</v>
      </c>
      <c r="H109" s="613">
        <f t="shared" si="20"/>
        <v>210305.60294226985</v>
      </c>
      <c r="I109" s="614">
        <f t="shared" si="21"/>
        <v>210305.60294226985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2029</v>
      </c>
      <c r="D110" s="346">
        <f>IF(F109+SUM(E$99:E109)=D$92,F109,D$92-SUM(E$99:E109))</f>
        <v>1494208</v>
      </c>
      <c r="E110" s="484">
        <f t="shared" si="17"/>
        <v>46696</v>
      </c>
      <c r="F110" s="485">
        <f t="shared" si="18"/>
        <v>1447512</v>
      </c>
      <c r="G110" s="485">
        <f t="shared" si="19"/>
        <v>1470860</v>
      </c>
      <c r="H110" s="613">
        <f t="shared" si="20"/>
        <v>205271.24900805441</v>
      </c>
      <c r="I110" s="614">
        <f t="shared" si="21"/>
        <v>205271.24900805441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2030</v>
      </c>
      <c r="D111" s="346">
        <f>IF(F110+SUM(E$99:E110)=D$92,F110,D$92-SUM(E$99:E110))</f>
        <v>1447512</v>
      </c>
      <c r="E111" s="484">
        <f t="shared" si="17"/>
        <v>46696</v>
      </c>
      <c r="F111" s="485">
        <f t="shared" si="18"/>
        <v>1400816</v>
      </c>
      <c r="G111" s="485">
        <f t="shared" si="19"/>
        <v>1424164</v>
      </c>
      <c r="H111" s="613">
        <f t="shared" si="20"/>
        <v>200236.89507383897</v>
      </c>
      <c r="I111" s="614">
        <f t="shared" si="21"/>
        <v>200236.89507383897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2031</v>
      </c>
      <c r="D112" s="346">
        <f>IF(F111+SUM(E$99:E111)=D$92,F111,D$92-SUM(E$99:E111))</f>
        <v>1400816</v>
      </c>
      <c r="E112" s="484">
        <f t="shared" si="17"/>
        <v>46696</v>
      </c>
      <c r="F112" s="485">
        <f t="shared" si="18"/>
        <v>1354120</v>
      </c>
      <c r="G112" s="485">
        <f t="shared" si="19"/>
        <v>1377468</v>
      </c>
      <c r="H112" s="613">
        <f t="shared" si="20"/>
        <v>195202.54113962356</v>
      </c>
      <c r="I112" s="614">
        <f t="shared" si="21"/>
        <v>195202.54113962356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2032</v>
      </c>
      <c r="D113" s="346">
        <f>IF(F112+SUM(E$99:E112)=D$92,F112,D$92-SUM(E$99:E112))</f>
        <v>1354120</v>
      </c>
      <c r="E113" s="484">
        <f t="shared" si="17"/>
        <v>46696</v>
      </c>
      <c r="F113" s="485">
        <f t="shared" si="18"/>
        <v>1307424</v>
      </c>
      <c r="G113" s="485">
        <f t="shared" si="19"/>
        <v>1330772</v>
      </c>
      <c r="H113" s="613">
        <f t="shared" si="20"/>
        <v>190168.18720540812</v>
      </c>
      <c r="I113" s="614">
        <f t="shared" si="21"/>
        <v>190168.18720540812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2033</v>
      </c>
      <c r="D114" s="346">
        <f>IF(F113+SUM(E$99:E113)=D$92,F113,D$92-SUM(E$99:E113))</f>
        <v>1307424</v>
      </c>
      <c r="E114" s="484">
        <f t="shared" si="17"/>
        <v>46696</v>
      </c>
      <c r="F114" s="485">
        <f t="shared" si="18"/>
        <v>1260728</v>
      </c>
      <c r="G114" s="485">
        <f t="shared" si="19"/>
        <v>1284076</v>
      </c>
      <c r="H114" s="613">
        <f t="shared" si="20"/>
        <v>185133.83327119268</v>
      </c>
      <c r="I114" s="614">
        <f t="shared" si="21"/>
        <v>185133.83327119268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2034</v>
      </c>
      <c r="D115" s="346">
        <f>IF(F114+SUM(E$99:E114)=D$92,F114,D$92-SUM(E$99:E114))</f>
        <v>1260728</v>
      </c>
      <c r="E115" s="484">
        <f t="shared" si="17"/>
        <v>46696</v>
      </c>
      <c r="F115" s="485">
        <f t="shared" si="18"/>
        <v>1214032</v>
      </c>
      <c r="G115" s="485">
        <f t="shared" si="19"/>
        <v>1237380</v>
      </c>
      <c r="H115" s="613">
        <f t="shared" si="20"/>
        <v>180099.47933697727</v>
      </c>
      <c r="I115" s="614">
        <f t="shared" si="21"/>
        <v>180099.47933697727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2035</v>
      </c>
      <c r="D116" s="346">
        <f>IF(F115+SUM(E$99:E115)=D$92,F115,D$92-SUM(E$99:E115))</f>
        <v>1214032</v>
      </c>
      <c r="E116" s="484">
        <f t="shared" si="17"/>
        <v>46696</v>
      </c>
      <c r="F116" s="485">
        <f t="shared" si="18"/>
        <v>1167336</v>
      </c>
      <c r="G116" s="485">
        <f t="shared" si="19"/>
        <v>1190684</v>
      </c>
      <c r="H116" s="613">
        <f t="shared" si="20"/>
        <v>175065.12540276183</v>
      </c>
      <c r="I116" s="614">
        <f t="shared" si="21"/>
        <v>175065.12540276183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2036</v>
      </c>
      <c r="D117" s="346">
        <f>IF(F116+SUM(E$99:E116)=D$92,F116,D$92-SUM(E$99:E116))</f>
        <v>1167336</v>
      </c>
      <c r="E117" s="484">
        <f t="shared" si="17"/>
        <v>46696</v>
      </c>
      <c r="F117" s="485">
        <f t="shared" si="18"/>
        <v>1120640</v>
      </c>
      <c r="G117" s="485">
        <f t="shared" si="19"/>
        <v>1143988</v>
      </c>
      <c r="H117" s="613">
        <f t="shared" si="20"/>
        <v>170030.77146854642</v>
      </c>
      <c r="I117" s="614">
        <f t="shared" si="21"/>
        <v>170030.77146854642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2037</v>
      </c>
      <c r="D118" s="346">
        <f>IF(F117+SUM(E$99:E117)=D$92,F117,D$92-SUM(E$99:E117))</f>
        <v>1120640</v>
      </c>
      <c r="E118" s="484">
        <f t="shared" si="17"/>
        <v>46696</v>
      </c>
      <c r="F118" s="485">
        <f t="shared" si="18"/>
        <v>1073944</v>
      </c>
      <c r="G118" s="485">
        <f t="shared" si="19"/>
        <v>1097292</v>
      </c>
      <c r="H118" s="613">
        <f t="shared" si="20"/>
        <v>164996.41753433098</v>
      </c>
      <c r="I118" s="614">
        <f t="shared" si="21"/>
        <v>164996.41753433098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2038</v>
      </c>
      <c r="D119" s="346">
        <f>IF(F118+SUM(E$99:E118)=D$92,F118,D$92-SUM(E$99:E118))</f>
        <v>1073944</v>
      </c>
      <c r="E119" s="484">
        <f t="shared" si="17"/>
        <v>46696</v>
      </c>
      <c r="F119" s="485">
        <f t="shared" si="18"/>
        <v>1027248</v>
      </c>
      <c r="G119" s="485">
        <f t="shared" si="19"/>
        <v>1050596</v>
      </c>
      <c r="H119" s="613">
        <f t="shared" si="20"/>
        <v>159962.06360011554</v>
      </c>
      <c r="I119" s="614">
        <f t="shared" si="21"/>
        <v>159962.06360011554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2039</v>
      </c>
      <c r="D120" s="346">
        <f>IF(F119+SUM(E$99:E119)=D$92,F119,D$92-SUM(E$99:E119))</f>
        <v>1027248</v>
      </c>
      <c r="E120" s="484">
        <f t="shared" si="17"/>
        <v>46696</v>
      </c>
      <c r="F120" s="485">
        <f t="shared" si="18"/>
        <v>980552</v>
      </c>
      <c r="G120" s="485">
        <f t="shared" si="19"/>
        <v>1003900</v>
      </c>
      <c r="H120" s="613">
        <f t="shared" si="20"/>
        <v>154927.7096659001</v>
      </c>
      <c r="I120" s="614">
        <f t="shared" si="21"/>
        <v>154927.7096659001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2040</v>
      </c>
      <c r="D121" s="346">
        <f>IF(F120+SUM(E$99:E120)=D$92,F120,D$92-SUM(E$99:E120))</f>
        <v>980552</v>
      </c>
      <c r="E121" s="484">
        <f t="shared" si="17"/>
        <v>46696</v>
      </c>
      <c r="F121" s="485">
        <f t="shared" si="18"/>
        <v>933856</v>
      </c>
      <c r="G121" s="485">
        <f t="shared" si="19"/>
        <v>957204</v>
      </c>
      <c r="H121" s="613">
        <f t="shared" si="20"/>
        <v>149893.35573168466</v>
      </c>
      <c r="I121" s="614">
        <f t="shared" si="21"/>
        <v>149893.35573168466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2041</v>
      </c>
      <c r="D122" s="346">
        <f>IF(F121+SUM(E$99:E121)=D$92,F121,D$92-SUM(E$99:E121))</f>
        <v>933856</v>
      </c>
      <c r="E122" s="484">
        <f t="shared" si="17"/>
        <v>46696</v>
      </c>
      <c r="F122" s="485">
        <f t="shared" si="18"/>
        <v>887160</v>
      </c>
      <c r="G122" s="485">
        <f t="shared" si="19"/>
        <v>910508</v>
      </c>
      <c r="H122" s="613">
        <f t="shared" si="20"/>
        <v>144859.00179746925</v>
      </c>
      <c r="I122" s="614">
        <f t="shared" si="21"/>
        <v>144859.00179746925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2042</v>
      </c>
      <c r="D123" s="346">
        <f>IF(F122+SUM(E$99:E122)=D$92,F122,D$92-SUM(E$99:E122))</f>
        <v>887160</v>
      </c>
      <c r="E123" s="484">
        <f t="shared" si="17"/>
        <v>46696</v>
      </c>
      <c r="F123" s="485">
        <f t="shared" si="18"/>
        <v>840464</v>
      </c>
      <c r="G123" s="485">
        <f t="shared" si="19"/>
        <v>863812</v>
      </c>
      <c r="H123" s="613">
        <f t="shared" si="20"/>
        <v>139824.64786325381</v>
      </c>
      <c r="I123" s="614">
        <f t="shared" si="21"/>
        <v>139824.64786325381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2043</v>
      </c>
      <c r="D124" s="346">
        <f>IF(F123+SUM(E$99:E123)=D$92,F123,D$92-SUM(E$99:E123))</f>
        <v>840464</v>
      </c>
      <c r="E124" s="484">
        <f t="shared" si="17"/>
        <v>46696</v>
      </c>
      <c r="F124" s="485">
        <f t="shared" si="18"/>
        <v>793768</v>
      </c>
      <c r="G124" s="485">
        <f t="shared" si="19"/>
        <v>817116</v>
      </c>
      <c r="H124" s="613">
        <f t="shared" si="20"/>
        <v>134790.29392903839</v>
      </c>
      <c r="I124" s="614">
        <f t="shared" si="21"/>
        <v>134790.29392903839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2044</v>
      </c>
      <c r="D125" s="346">
        <f>IF(F124+SUM(E$99:E124)=D$92,F124,D$92-SUM(E$99:E124))</f>
        <v>793768</v>
      </c>
      <c r="E125" s="484">
        <f t="shared" si="17"/>
        <v>46696</v>
      </c>
      <c r="F125" s="485">
        <f t="shared" si="18"/>
        <v>747072</v>
      </c>
      <c r="G125" s="485">
        <f t="shared" si="19"/>
        <v>770420</v>
      </c>
      <c r="H125" s="613">
        <f t="shared" si="20"/>
        <v>129755.93999482295</v>
      </c>
      <c r="I125" s="614">
        <f t="shared" si="21"/>
        <v>129755.93999482295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2045</v>
      </c>
      <c r="D126" s="346">
        <f>IF(F125+SUM(E$99:E125)=D$92,F125,D$92-SUM(E$99:E125))</f>
        <v>747072</v>
      </c>
      <c r="E126" s="484">
        <f t="shared" si="17"/>
        <v>46696</v>
      </c>
      <c r="F126" s="485">
        <f t="shared" si="18"/>
        <v>700376</v>
      </c>
      <c r="G126" s="485">
        <f t="shared" si="19"/>
        <v>723724</v>
      </c>
      <c r="H126" s="613">
        <f t="shared" si="20"/>
        <v>124721.58606060751</v>
      </c>
      <c r="I126" s="614">
        <f t="shared" si="21"/>
        <v>124721.58606060751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2046</v>
      </c>
      <c r="D127" s="346">
        <f>IF(F126+SUM(E$99:E126)=D$92,F126,D$92-SUM(E$99:E126))</f>
        <v>700376</v>
      </c>
      <c r="E127" s="484">
        <f t="shared" si="17"/>
        <v>46696</v>
      </c>
      <c r="F127" s="485">
        <f t="shared" si="18"/>
        <v>653680</v>
      </c>
      <c r="G127" s="485">
        <f t="shared" si="19"/>
        <v>677028</v>
      </c>
      <c r="H127" s="613">
        <f t="shared" si="20"/>
        <v>119687.23212639209</v>
      </c>
      <c r="I127" s="614">
        <f t="shared" si="21"/>
        <v>119687.23212639209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2047</v>
      </c>
      <c r="D128" s="346">
        <f>IF(F127+SUM(E$99:E127)=D$92,F127,D$92-SUM(E$99:E127))</f>
        <v>653680</v>
      </c>
      <c r="E128" s="484">
        <f t="shared" si="17"/>
        <v>46696</v>
      </c>
      <c r="F128" s="485">
        <f t="shared" si="18"/>
        <v>606984</v>
      </c>
      <c r="G128" s="485">
        <f t="shared" si="19"/>
        <v>630332</v>
      </c>
      <c r="H128" s="613">
        <f t="shared" si="20"/>
        <v>114652.87819217665</v>
      </c>
      <c r="I128" s="614">
        <f t="shared" si="21"/>
        <v>114652.87819217665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2048</v>
      </c>
      <c r="D129" s="346">
        <f>IF(F128+SUM(E$99:E128)=D$92,F128,D$92-SUM(E$99:E128))</f>
        <v>606984</v>
      </c>
      <c r="E129" s="484">
        <f t="shared" si="17"/>
        <v>46696</v>
      </c>
      <c r="F129" s="485">
        <f t="shared" si="18"/>
        <v>560288</v>
      </c>
      <c r="G129" s="485">
        <f t="shared" si="19"/>
        <v>583636</v>
      </c>
      <c r="H129" s="613">
        <f t="shared" si="20"/>
        <v>109618.52425796122</v>
      </c>
      <c r="I129" s="614">
        <f t="shared" si="21"/>
        <v>109618.52425796122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2049</v>
      </c>
      <c r="D130" s="346">
        <f>IF(F129+SUM(E$99:E129)=D$92,F129,D$92-SUM(E$99:E129))</f>
        <v>560288</v>
      </c>
      <c r="E130" s="484">
        <f t="shared" si="17"/>
        <v>46696</v>
      </c>
      <c r="F130" s="485">
        <f t="shared" si="18"/>
        <v>513592</v>
      </c>
      <c r="G130" s="485">
        <f t="shared" si="19"/>
        <v>536940</v>
      </c>
      <c r="H130" s="613">
        <f t="shared" si="20"/>
        <v>104584.17032374578</v>
      </c>
      <c r="I130" s="614">
        <f t="shared" si="21"/>
        <v>104584.17032374578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2050</v>
      </c>
      <c r="D131" s="346">
        <f>IF(F130+SUM(E$99:E130)=D$92,F130,D$92-SUM(E$99:E130))</f>
        <v>513592</v>
      </c>
      <c r="E131" s="484">
        <f t="shared" si="17"/>
        <v>46696</v>
      </c>
      <c r="F131" s="485">
        <f t="shared" si="18"/>
        <v>466896</v>
      </c>
      <c r="G131" s="485">
        <f t="shared" si="19"/>
        <v>490244</v>
      </c>
      <c r="H131" s="613">
        <f t="shared" si="20"/>
        <v>99549.816389530359</v>
      </c>
      <c r="I131" s="614">
        <f t="shared" si="21"/>
        <v>99549.816389530359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2051</v>
      </c>
      <c r="D132" s="346">
        <f>IF(F131+SUM(E$99:E131)=D$92,F131,D$92-SUM(E$99:E131))</f>
        <v>466896</v>
      </c>
      <c r="E132" s="484">
        <f t="shared" si="17"/>
        <v>46696</v>
      </c>
      <c r="F132" s="485">
        <f t="shared" si="18"/>
        <v>420200</v>
      </c>
      <c r="G132" s="485">
        <f t="shared" si="19"/>
        <v>443548</v>
      </c>
      <c r="H132" s="613">
        <f t="shared" si="20"/>
        <v>94515.462455314933</v>
      </c>
      <c r="I132" s="614">
        <f t="shared" si="21"/>
        <v>94515.462455314933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2052</v>
      </c>
      <c r="D133" s="346">
        <f>IF(F132+SUM(E$99:E132)=D$92,F132,D$92-SUM(E$99:E132))</f>
        <v>420200</v>
      </c>
      <c r="E133" s="484">
        <f t="shared" si="17"/>
        <v>46696</v>
      </c>
      <c r="F133" s="485">
        <f t="shared" si="18"/>
        <v>373504</v>
      </c>
      <c r="G133" s="485">
        <f t="shared" si="19"/>
        <v>396852</v>
      </c>
      <c r="H133" s="613">
        <f t="shared" si="20"/>
        <v>89481.108521099493</v>
      </c>
      <c r="I133" s="614">
        <f t="shared" si="21"/>
        <v>89481.108521099493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2053</v>
      </c>
      <c r="D134" s="346">
        <f>IF(F133+SUM(E$99:E133)=D$92,F133,D$92-SUM(E$99:E133))</f>
        <v>373504</v>
      </c>
      <c r="E134" s="484">
        <f t="shared" si="17"/>
        <v>46696</v>
      </c>
      <c r="F134" s="485">
        <f t="shared" si="18"/>
        <v>326808</v>
      </c>
      <c r="G134" s="485">
        <f t="shared" si="19"/>
        <v>350156</v>
      </c>
      <c r="H134" s="613">
        <f t="shared" si="20"/>
        <v>84446.754586884068</v>
      </c>
      <c r="I134" s="614">
        <f t="shared" si="21"/>
        <v>84446.754586884068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2054</v>
      </c>
      <c r="D135" s="346">
        <f>IF(F134+SUM(E$99:E134)=D$92,F134,D$92-SUM(E$99:E134))</f>
        <v>326808</v>
      </c>
      <c r="E135" s="484">
        <f t="shared" si="17"/>
        <v>46696</v>
      </c>
      <c r="F135" s="485">
        <f t="shared" si="18"/>
        <v>280112</v>
      </c>
      <c r="G135" s="485">
        <f t="shared" si="19"/>
        <v>303460</v>
      </c>
      <c r="H135" s="613">
        <f t="shared" si="20"/>
        <v>79412.400652668643</v>
      </c>
      <c r="I135" s="614">
        <f t="shared" si="21"/>
        <v>79412.400652668643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2055</v>
      </c>
      <c r="D136" s="346">
        <f>IF(F135+SUM(E$99:E135)=D$92,F135,D$92-SUM(E$99:E135))</f>
        <v>280112</v>
      </c>
      <c r="E136" s="484">
        <f t="shared" si="17"/>
        <v>46696</v>
      </c>
      <c r="F136" s="485">
        <f t="shared" si="18"/>
        <v>233416</v>
      </c>
      <c r="G136" s="485">
        <f t="shared" si="19"/>
        <v>256764</v>
      </c>
      <c r="H136" s="613">
        <f t="shared" si="20"/>
        <v>74378.046718453203</v>
      </c>
      <c r="I136" s="614">
        <f t="shared" si="21"/>
        <v>74378.046718453203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2056</v>
      </c>
      <c r="D137" s="346">
        <f>IF(F136+SUM(E$99:E136)=D$92,F136,D$92-SUM(E$99:E136))</f>
        <v>233416</v>
      </c>
      <c r="E137" s="484">
        <f t="shared" si="17"/>
        <v>46696</v>
      </c>
      <c r="F137" s="485">
        <f t="shared" si="18"/>
        <v>186720</v>
      </c>
      <c r="G137" s="485">
        <f t="shared" si="19"/>
        <v>210068</v>
      </c>
      <c r="H137" s="613">
        <f t="shared" si="20"/>
        <v>69343.692784237777</v>
      </c>
      <c r="I137" s="614">
        <f t="shared" si="21"/>
        <v>69343.692784237777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2057</v>
      </c>
      <c r="D138" s="346">
        <f>IF(F137+SUM(E$99:E137)=D$92,F137,D$92-SUM(E$99:E137))</f>
        <v>186720</v>
      </c>
      <c r="E138" s="484">
        <f t="shared" si="17"/>
        <v>46696</v>
      </c>
      <c r="F138" s="485">
        <f t="shared" si="18"/>
        <v>140024</v>
      </c>
      <c r="G138" s="485">
        <f t="shared" si="19"/>
        <v>163372</v>
      </c>
      <c r="H138" s="613">
        <f t="shared" si="20"/>
        <v>64309.338850022345</v>
      </c>
      <c r="I138" s="614">
        <f t="shared" si="21"/>
        <v>64309.338850022345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2058</v>
      </c>
      <c r="D139" s="346">
        <f>IF(F138+SUM(E$99:E138)=D$92,F138,D$92-SUM(E$99:E138))</f>
        <v>140024</v>
      </c>
      <c r="E139" s="484">
        <f t="shared" si="17"/>
        <v>46696</v>
      </c>
      <c r="F139" s="485">
        <f t="shared" si="18"/>
        <v>93328</v>
      </c>
      <c r="G139" s="485">
        <f t="shared" si="19"/>
        <v>116676</v>
      </c>
      <c r="H139" s="613">
        <f t="shared" si="20"/>
        <v>59274.984915806912</v>
      </c>
      <c r="I139" s="614">
        <f t="shared" si="21"/>
        <v>59274.984915806912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2059</v>
      </c>
      <c r="D140" s="346">
        <f>IF(F139+SUM(E$99:E139)=D$92,F139,D$92-SUM(E$99:E139))</f>
        <v>93328</v>
      </c>
      <c r="E140" s="484">
        <f t="shared" si="17"/>
        <v>46696</v>
      </c>
      <c r="F140" s="485">
        <f t="shared" si="18"/>
        <v>46632</v>
      </c>
      <c r="G140" s="485">
        <f t="shared" si="19"/>
        <v>69980</v>
      </c>
      <c r="H140" s="613">
        <f t="shared" si="20"/>
        <v>54240.630981591486</v>
      </c>
      <c r="I140" s="614">
        <f t="shared" si="21"/>
        <v>54240.630981591486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2060</v>
      </c>
      <c r="D141" s="346">
        <f>IF(F140+SUM(E$99:E140)=D$92,F140,D$92-SUM(E$99:E140))</f>
        <v>46632</v>
      </c>
      <c r="E141" s="484">
        <f t="shared" si="17"/>
        <v>46632</v>
      </c>
      <c r="F141" s="485">
        <f t="shared" si="18"/>
        <v>0</v>
      </c>
      <c r="G141" s="485">
        <f t="shared" si="19"/>
        <v>23316</v>
      </c>
      <c r="H141" s="613">
        <f t="shared" si="20"/>
        <v>49145.727007241883</v>
      </c>
      <c r="I141" s="614">
        <f t="shared" si="21"/>
        <v>49145.727007241883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20"/>
        <v>0</v>
      </c>
      <c r="I142" s="614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20"/>
        <v>0</v>
      </c>
      <c r="I143" s="614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20"/>
        <v>0</v>
      </c>
      <c r="I144" s="614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20"/>
        <v>0</v>
      </c>
      <c r="I145" s="614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20"/>
        <v>0</v>
      </c>
      <c r="I146" s="614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20"/>
        <v>0</v>
      </c>
      <c r="I147" s="614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20"/>
        <v>0</v>
      </c>
      <c r="I148" s="614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20"/>
        <v>0</v>
      </c>
      <c r="I149" s="614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20"/>
        <v>0</v>
      </c>
      <c r="I150" s="614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20"/>
        <v>0</v>
      </c>
      <c r="I151" s="614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20"/>
        <v>0</v>
      </c>
      <c r="I152" s="614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20"/>
        <v>0</v>
      </c>
      <c r="I153" s="614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20"/>
        <v>0</v>
      </c>
      <c r="I154" s="616">
        <f t="shared" si="21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6" t="s">
        <v>77</v>
      </c>
      <c r="D155" s="347"/>
      <c r="E155" s="347">
        <f>SUM(E99:E154)</f>
        <v>1961221</v>
      </c>
      <c r="F155" s="347"/>
      <c r="G155" s="347"/>
      <c r="H155" s="347">
        <f>SUM(H99:H154)</f>
        <v>6478479.4929996701</v>
      </c>
      <c r="I155" s="347">
        <f>SUM(I99:I154)</f>
        <v>6478479.4929996701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5" priority="1" stopIfTrue="1" operator="equal">
      <formula>$I$10</formula>
    </cfRule>
  </conditionalFormatting>
  <conditionalFormatting sqref="C99:C154">
    <cfRule type="cellIs" dxfId="24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P162"/>
  <sheetViews>
    <sheetView view="pageBreakPreview" zoomScale="78" zoomScaleNormal="100" zoomScaleSheetLayoutView="78" workbookViewId="0">
      <selection activeCell="E19" sqref="E19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21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39805.169882695685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39805.169882695685</v>
      </c>
      <c r="O6" s="232"/>
      <c r="P6" s="232"/>
    </row>
    <row r="7" spans="1:16" ht="13.5" thickBot="1">
      <c r="C7" s="431" t="s">
        <v>46</v>
      </c>
      <c r="D7" s="599" t="s">
        <v>279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299</v>
      </c>
      <c r="E9" s="577" t="s">
        <v>300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330872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2017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7877.9047619047615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2017</v>
      </c>
      <c r="D17" s="584">
        <v>0</v>
      </c>
      <c r="E17" s="608">
        <v>2847.8260869565215</v>
      </c>
      <c r="F17" s="584">
        <v>259152.17391304349</v>
      </c>
      <c r="G17" s="608">
        <v>19337.763747649027</v>
      </c>
      <c r="H17" s="587">
        <v>19337.763747649027</v>
      </c>
      <c r="I17" s="475">
        <f t="shared" ref="I17:I72" si="0">H17-G17</f>
        <v>0</v>
      </c>
      <c r="J17" s="475"/>
      <c r="K17" s="477">
        <f>+G17</f>
        <v>19337.763747649027</v>
      </c>
      <c r="L17" s="477">
        <f t="shared" ref="L17:L72" si="1">IF(K17&lt;&gt;0,+G17-K17,0)</f>
        <v>0</v>
      </c>
      <c r="M17" s="477">
        <f>+H17</f>
        <v>19337.763747649027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2018</v>
      </c>
      <c r="D18" s="584">
        <v>259152.17391304349</v>
      </c>
      <c r="E18" s="585">
        <v>5822.2222222222226</v>
      </c>
      <c r="F18" s="584">
        <v>253329.95169082127</v>
      </c>
      <c r="G18" s="585">
        <v>36509.380469214986</v>
      </c>
      <c r="H18" s="587">
        <v>36509.380469214986</v>
      </c>
      <c r="I18" s="475">
        <f t="shared" si="0"/>
        <v>0</v>
      </c>
      <c r="J18" s="475"/>
      <c r="K18" s="478">
        <f>+G18</f>
        <v>36509.380469214986</v>
      </c>
      <c r="L18" s="478">
        <f t="shared" si="1"/>
        <v>0</v>
      </c>
      <c r="M18" s="478">
        <f>+H18</f>
        <v>36509.380469214986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2019</v>
      </c>
      <c r="D19" s="584">
        <v>253329.95169082127</v>
      </c>
      <c r="E19" s="585">
        <v>6550</v>
      </c>
      <c r="F19" s="584">
        <v>246779.95169082127</v>
      </c>
      <c r="G19" s="585">
        <v>34470.293545069071</v>
      </c>
      <c r="H19" s="587">
        <v>34470.293545069071</v>
      </c>
      <c r="I19" s="475">
        <f t="shared" si="0"/>
        <v>0</v>
      </c>
      <c r="J19" s="475"/>
      <c r="K19" s="478">
        <f>+G19</f>
        <v>34470.293545069071</v>
      </c>
      <c r="L19" s="478">
        <f t="shared" ref="L19" si="4">IF(K19&lt;&gt;0,+G19-K19,0)</f>
        <v>0</v>
      </c>
      <c r="M19" s="478">
        <f>+H19</f>
        <v>34470.293545069071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2020</v>
      </c>
      <c r="D20" s="584">
        <v>316379.72946859902</v>
      </c>
      <c r="E20" s="585">
        <v>7877.9047619047615</v>
      </c>
      <c r="F20" s="584">
        <v>308501.82470669429</v>
      </c>
      <c r="G20" s="585">
        <v>41623.00118882845</v>
      </c>
      <c r="H20" s="587">
        <v>41623.00118882845</v>
      </c>
      <c r="I20" s="475">
        <f t="shared" si="0"/>
        <v>0</v>
      </c>
      <c r="J20" s="475"/>
      <c r="K20" s="478">
        <f>+G20</f>
        <v>41623.00118882845</v>
      </c>
      <c r="L20" s="478">
        <f t="shared" ref="L20" si="6">IF(K20&lt;&gt;0,+G20-K20,0)</f>
        <v>0</v>
      </c>
      <c r="M20" s="478">
        <f>+H20</f>
        <v>41623.00118882845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5"/>
        <v>IU</v>
      </c>
      <c r="C21" s="472">
        <f>IF(D11="","-",+C20+1)</f>
        <v>2021</v>
      </c>
      <c r="D21" s="584">
        <v>307774.04692891648</v>
      </c>
      <c r="E21" s="585">
        <v>7694.6976744186049</v>
      </c>
      <c r="F21" s="584">
        <v>300079.34925449785</v>
      </c>
      <c r="G21" s="585">
        <v>40464.576318636115</v>
      </c>
      <c r="H21" s="587">
        <v>40464.576318636115</v>
      </c>
      <c r="I21" s="475">
        <f t="shared" si="0"/>
        <v>0</v>
      </c>
      <c r="J21" s="475"/>
      <c r="K21" s="478">
        <f>+G21</f>
        <v>40464.576318636115</v>
      </c>
      <c r="L21" s="478">
        <f t="shared" ref="L21" si="7">IF(K21&lt;&gt;0,+G21-K21,0)</f>
        <v>0</v>
      </c>
      <c r="M21" s="478">
        <f>+H21</f>
        <v>40464.576318636115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5"/>
        <v/>
      </c>
      <c r="C22" s="472">
        <f>IF(D11="","-",+C21+1)</f>
        <v>2022</v>
      </c>
      <c r="D22" s="483">
        <f>IF(F21+SUM(E$17:E21)=D$10,F21,D$10-SUM(E$17:E21))</f>
        <v>300079.34925449785</v>
      </c>
      <c r="E22" s="484">
        <f t="shared" ref="E22:E72" si="8">IF(+I$14&lt;F21,I$14,D22)</f>
        <v>7877.9047619047615</v>
      </c>
      <c r="F22" s="485">
        <f t="shared" ref="F22:F72" si="9">+D22-E22</f>
        <v>292201.44449259312</v>
      </c>
      <c r="G22" s="486">
        <f t="shared" ref="G22:G72" si="10">(D22+F22)/2*I$12+E22</f>
        <v>39805.169882695685</v>
      </c>
      <c r="H22" s="455">
        <f t="shared" ref="H22:H72" si="11">+(D22+F22)/2*I$13+E22</f>
        <v>39805.169882695685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5"/>
        <v/>
      </c>
      <c r="C23" s="472">
        <f>IF(D11="","-",+C22+1)</f>
        <v>2023</v>
      </c>
      <c r="D23" s="483">
        <f>IF(F22+SUM(E$17:E22)=D$10,F22,D$10-SUM(E$17:E22))</f>
        <v>292201.44449259312</v>
      </c>
      <c r="E23" s="484">
        <f t="shared" si="8"/>
        <v>7877.9047619047615</v>
      </c>
      <c r="F23" s="485">
        <f t="shared" si="9"/>
        <v>284323.53973068838</v>
      </c>
      <c r="G23" s="486">
        <f t="shared" si="10"/>
        <v>38955.843155963848</v>
      </c>
      <c r="H23" s="455">
        <f t="shared" si="11"/>
        <v>38955.843155963848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5"/>
        <v/>
      </c>
      <c r="C24" s="472">
        <f>IF(D11="","-",+C23+1)</f>
        <v>2024</v>
      </c>
      <c r="D24" s="483">
        <f>IF(F23+SUM(E$17:E23)=D$10,F23,D$10-SUM(E$17:E23))</f>
        <v>284323.53973068838</v>
      </c>
      <c r="E24" s="484">
        <f t="shared" si="8"/>
        <v>7877.9047619047615</v>
      </c>
      <c r="F24" s="485">
        <f t="shared" si="9"/>
        <v>276445.63496878365</v>
      </c>
      <c r="G24" s="486">
        <f t="shared" si="10"/>
        <v>38106.516429232019</v>
      </c>
      <c r="H24" s="455">
        <f t="shared" si="11"/>
        <v>38106.516429232019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>
      <c r="B25" s="160" t="str">
        <f t="shared" si="5"/>
        <v/>
      </c>
      <c r="C25" s="472">
        <f>IF(D11="","-",+C24+1)</f>
        <v>2025</v>
      </c>
      <c r="D25" s="483">
        <f>IF(F24+SUM(E$17:E24)=D$10,F24,D$10-SUM(E$17:E24))</f>
        <v>276445.63496878365</v>
      </c>
      <c r="E25" s="484">
        <f t="shared" si="8"/>
        <v>7877.9047619047615</v>
      </c>
      <c r="F25" s="485">
        <f t="shared" si="9"/>
        <v>268567.73020687891</v>
      </c>
      <c r="G25" s="486">
        <f t="shared" si="10"/>
        <v>37257.189702500189</v>
      </c>
      <c r="H25" s="455">
        <f t="shared" si="11"/>
        <v>37257.189702500189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>
      <c r="B26" s="160" t="str">
        <f t="shared" si="5"/>
        <v/>
      </c>
      <c r="C26" s="472">
        <f>IF(D11="","-",+C25+1)</f>
        <v>2026</v>
      </c>
      <c r="D26" s="483">
        <f>IF(F25+SUM(E$17:E25)=D$10,F25,D$10-SUM(E$17:E25))</f>
        <v>268567.73020687891</v>
      </c>
      <c r="E26" s="484">
        <f t="shared" si="8"/>
        <v>7877.9047619047615</v>
      </c>
      <c r="F26" s="485">
        <f t="shared" si="9"/>
        <v>260689.82544497415</v>
      </c>
      <c r="G26" s="486">
        <f t="shared" si="10"/>
        <v>36407.862975768359</v>
      </c>
      <c r="H26" s="455">
        <f t="shared" si="11"/>
        <v>36407.862975768359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>
      <c r="B27" s="160" t="str">
        <f t="shared" si="5"/>
        <v/>
      </c>
      <c r="C27" s="472">
        <f>IF(D11="","-",+C26+1)</f>
        <v>2027</v>
      </c>
      <c r="D27" s="483">
        <f>IF(F26+SUM(E$17:E26)=D$10,F26,D$10-SUM(E$17:E26))</f>
        <v>260689.82544497415</v>
      </c>
      <c r="E27" s="484">
        <f t="shared" si="8"/>
        <v>7877.9047619047615</v>
      </c>
      <c r="F27" s="485">
        <f t="shared" si="9"/>
        <v>252811.92068306939</v>
      </c>
      <c r="G27" s="486">
        <f t="shared" si="10"/>
        <v>35558.536249036522</v>
      </c>
      <c r="H27" s="455">
        <f t="shared" si="11"/>
        <v>35558.536249036522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>
      <c r="B28" s="160" t="str">
        <f t="shared" si="5"/>
        <v/>
      </c>
      <c r="C28" s="472">
        <f>IF(D11="","-",+C27+1)</f>
        <v>2028</v>
      </c>
      <c r="D28" s="483">
        <f>IF(F27+SUM(E$17:E27)=D$10,F27,D$10-SUM(E$17:E27))</f>
        <v>252811.92068306939</v>
      </c>
      <c r="E28" s="484">
        <f t="shared" si="8"/>
        <v>7877.9047619047615</v>
      </c>
      <c r="F28" s="485">
        <f t="shared" si="9"/>
        <v>244934.01592116462</v>
      </c>
      <c r="G28" s="486">
        <f t="shared" si="10"/>
        <v>34709.209522304693</v>
      </c>
      <c r="H28" s="455">
        <f t="shared" si="11"/>
        <v>34709.209522304693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5"/>
        <v/>
      </c>
      <c r="C29" s="472">
        <f>IF(D11="","-",+C28+1)</f>
        <v>2029</v>
      </c>
      <c r="D29" s="483">
        <f>IF(F28+SUM(E$17:E28)=D$10,F28,D$10-SUM(E$17:E28))</f>
        <v>244934.01592116462</v>
      </c>
      <c r="E29" s="484">
        <f t="shared" si="8"/>
        <v>7877.9047619047615</v>
      </c>
      <c r="F29" s="485">
        <f t="shared" si="9"/>
        <v>237056.11115925986</v>
      </c>
      <c r="G29" s="486">
        <f t="shared" si="10"/>
        <v>33859.882795572856</v>
      </c>
      <c r="H29" s="455">
        <f t="shared" si="11"/>
        <v>33859.882795572856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5"/>
        <v/>
      </c>
      <c r="C30" s="472">
        <f>IF(D11="","-",+C29+1)</f>
        <v>2030</v>
      </c>
      <c r="D30" s="483">
        <f>IF(F29+SUM(E$17:E29)=D$10,F29,D$10-SUM(E$17:E29))</f>
        <v>237056.11115925986</v>
      </c>
      <c r="E30" s="484">
        <f t="shared" si="8"/>
        <v>7877.9047619047615</v>
      </c>
      <c r="F30" s="485">
        <f t="shared" si="9"/>
        <v>229178.2063973551</v>
      </c>
      <c r="G30" s="486">
        <f t="shared" si="10"/>
        <v>33010.556068841019</v>
      </c>
      <c r="H30" s="455">
        <f t="shared" si="11"/>
        <v>33010.556068841019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5"/>
        <v/>
      </c>
      <c r="C31" s="472">
        <f>IF(D11="","-",+C30+1)</f>
        <v>2031</v>
      </c>
      <c r="D31" s="483">
        <f>IF(F30+SUM(E$17:E30)=D$10,F30,D$10-SUM(E$17:E30))</f>
        <v>229178.2063973551</v>
      </c>
      <c r="E31" s="484">
        <f t="shared" si="8"/>
        <v>7877.9047619047615</v>
      </c>
      <c r="F31" s="485">
        <f t="shared" si="9"/>
        <v>221300.30163545033</v>
      </c>
      <c r="G31" s="486">
        <f t="shared" si="10"/>
        <v>32161.229342109182</v>
      </c>
      <c r="H31" s="455">
        <f t="shared" si="11"/>
        <v>32161.229342109182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5"/>
        <v/>
      </c>
      <c r="C32" s="472">
        <f>IF(D11="","-",+C31+1)</f>
        <v>2032</v>
      </c>
      <c r="D32" s="483">
        <f>IF(F31+SUM(E$17:E31)=D$10,F31,D$10-SUM(E$17:E31))</f>
        <v>221300.30163545033</v>
      </c>
      <c r="E32" s="484">
        <f t="shared" si="8"/>
        <v>7877.9047619047615</v>
      </c>
      <c r="F32" s="485">
        <f t="shared" si="9"/>
        <v>213422.39687354557</v>
      </c>
      <c r="G32" s="486">
        <f t="shared" si="10"/>
        <v>31311.902615377352</v>
      </c>
      <c r="H32" s="455">
        <f t="shared" si="11"/>
        <v>31311.902615377352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5"/>
        <v/>
      </c>
      <c r="C33" s="472">
        <f>IF(D11="","-",+C32+1)</f>
        <v>2033</v>
      </c>
      <c r="D33" s="483">
        <f>IF(F32+SUM(E$17:E32)=D$10,F32,D$10-SUM(E$17:E32))</f>
        <v>213422.39687354557</v>
      </c>
      <c r="E33" s="484">
        <f t="shared" si="8"/>
        <v>7877.9047619047615</v>
      </c>
      <c r="F33" s="485">
        <f t="shared" si="9"/>
        <v>205544.49211164081</v>
      </c>
      <c r="G33" s="486">
        <f t="shared" si="10"/>
        <v>30462.575888645515</v>
      </c>
      <c r="H33" s="455">
        <f t="shared" si="11"/>
        <v>30462.575888645515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5"/>
        <v/>
      </c>
      <c r="C34" s="472">
        <f>IF(D11="","-",+C33+1)</f>
        <v>2034</v>
      </c>
      <c r="D34" s="483">
        <f>IF(F33+SUM(E$17:E33)=D$10,F33,D$10-SUM(E$17:E33))</f>
        <v>205544.49211164081</v>
      </c>
      <c r="E34" s="484">
        <f t="shared" si="8"/>
        <v>7877.9047619047615</v>
      </c>
      <c r="F34" s="485">
        <f t="shared" si="9"/>
        <v>197666.58734973604</v>
      </c>
      <c r="G34" s="486">
        <f t="shared" si="10"/>
        <v>29613.249161913685</v>
      </c>
      <c r="H34" s="455">
        <f t="shared" si="11"/>
        <v>29613.249161913685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5"/>
        <v/>
      </c>
      <c r="C35" s="472">
        <f>IF(D11="","-",+C34+1)</f>
        <v>2035</v>
      </c>
      <c r="D35" s="483">
        <f>IF(F34+SUM(E$17:E34)=D$10,F34,D$10-SUM(E$17:E34))</f>
        <v>197666.58734973604</v>
      </c>
      <c r="E35" s="484">
        <f t="shared" si="8"/>
        <v>7877.9047619047615</v>
      </c>
      <c r="F35" s="485">
        <f t="shared" si="9"/>
        <v>189788.68258783128</v>
      </c>
      <c r="G35" s="486">
        <f t="shared" si="10"/>
        <v>28763.922435181848</v>
      </c>
      <c r="H35" s="455">
        <f t="shared" si="11"/>
        <v>28763.922435181848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5"/>
        <v/>
      </c>
      <c r="C36" s="472">
        <f>IF(D11="","-",+C35+1)</f>
        <v>2036</v>
      </c>
      <c r="D36" s="483">
        <f>IF(F35+SUM(E$17:E35)=D$10,F35,D$10-SUM(E$17:E35))</f>
        <v>189788.68258783128</v>
      </c>
      <c r="E36" s="484">
        <f t="shared" si="8"/>
        <v>7877.9047619047615</v>
      </c>
      <c r="F36" s="485">
        <f t="shared" si="9"/>
        <v>181910.77782592652</v>
      </c>
      <c r="G36" s="486">
        <f t="shared" si="10"/>
        <v>27914.595708450019</v>
      </c>
      <c r="H36" s="455">
        <f t="shared" si="11"/>
        <v>27914.595708450019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5"/>
        <v/>
      </c>
      <c r="C37" s="472">
        <f>IF(D11="","-",+C36+1)</f>
        <v>2037</v>
      </c>
      <c r="D37" s="483">
        <f>IF(F36+SUM(E$17:E36)=D$10,F36,D$10-SUM(E$17:E36))</f>
        <v>181910.77782592652</v>
      </c>
      <c r="E37" s="484">
        <f t="shared" si="8"/>
        <v>7877.9047619047615</v>
      </c>
      <c r="F37" s="485">
        <f t="shared" si="9"/>
        <v>174032.87306402175</v>
      </c>
      <c r="G37" s="486">
        <f t="shared" si="10"/>
        <v>27065.268981718182</v>
      </c>
      <c r="H37" s="455">
        <f t="shared" si="11"/>
        <v>27065.268981718182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5"/>
        <v/>
      </c>
      <c r="C38" s="472">
        <f>IF(D11="","-",+C37+1)</f>
        <v>2038</v>
      </c>
      <c r="D38" s="483">
        <f>IF(F37+SUM(E$17:E37)=D$10,F37,D$10-SUM(E$17:E37))</f>
        <v>174032.87306402175</v>
      </c>
      <c r="E38" s="484">
        <f t="shared" si="8"/>
        <v>7877.9047619047615</v>
      </c>
      <c r="F38" s="485">
        <f t="shared" si="9"/>
        <v>166154.96830211699</v>
      </c>
      <c r="G38" s="486">
        <f t="shared" si="10"/>
        <v>26215.942254986352</v>
      </c>
      <c r="H38" s="455">
        <f t="shared" si="11"/>
        <v>26215.942254986352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5"/>
        <v/>
      </c>
      <c r="C39" s="472">
        <f>IF(D11="","-",+C38+1)</f>
        <v>2039</v>
      </c>
      <c r="D39" s="483">
        <f>IF(F38+SUM(E$17:E38)=D$10,F38,D$10-SUM(E$17:E38))</f>
        <v>166154.96830211699</v>
      </c>
      <c r="E39" s="484">
        <f t="shared" si="8"/>
        <v>7877.9047619047615</v>
      </c>
      <c r="F39" s="485">
        <f t="shared" si="9"/>
        <v>158277.06354021223</v>
      </c>
      <c r="G39" s="486">
        <f t="shared" si="10"/>
        <v>25366.615528254515</v>
      </c>
      <c r="H39" s="455">
        <f t="shared" si="11"/>
        <v>25366.615528254515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5"/>
        <v/>
      </c>
      <c r="C40" s="472">
        <f>IF(D11="","-",+C39+1)</f>
        <v>2040</v>
      </c>
      <c r="D40" s="483">
        <f>IF(F39+SUM(E$17:E39)=D$10,F39,D$10-SUM(E$17:E39))</f>
        <v>158277.06354021223</v>
      </c>
      <c r="E40" s="484">
        <f t="shared" si="8"/>
        <v>7877.9047619047615</v>
      </c>
      <c r="F40" s="485">
        <f t="shared" si="9"/>
        <v>150399.15877830746</v>
      </c>
      <c r="G40" s="486">
        <f t="shared" si="10"/>
        <v>24517.288801522678</v>
      </c>
      <c r="H40" s="455">
        <f t="shared" si="11"/>
        <v>24517.288801522678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5"/>
        <v/>
      </c>
      <c r="C41" s="472">
        <f>IF(D11="","-",+C40+1)</f>
        <v>2041</v>
      </c>
      <c r="D41" s="483">
        <f>IF(F40+SUM(E$17:E40)=D$10,F40,D$10-SUM(E$17:E40))</f>
        <v>150399.15877830746</v>
      </c>
      <c r="E41" s="484">
        <f t="shared" si="8"/>
        <v>7877.9047619047615</v>
      </c>
      <c r="F41" s="485">
        <f t="shared" si="9"/>
        <v>142521.2540164027</v>
      </c>
      <c r="G41" s="486">
        <f t="shared" si="10"/>
        <v>23667.962074790845</v>
      </c>
      <c r="H41" s="455">
        <f t="shared" si="11"/>
        <v>23667.962074790845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5"/>
        <v/>
      </c>
      <c r="C42" s="472">
        <f>IF(D11="","-",+C41+1)</f>
        <v>2042</v>
      </c>
      <c r="D42" s="483">
        <f>IF(F41+SUM(E$17:E41)=D$10,F41,D$10-SUM(E$17:E41))</f>
        <v>142521.2540164027</v>
      </c>
      <c r="E42" s="484">
        <f t="shared" si="8"/>
        <v>7877.9047619047615</v>
      </c>
      <c r="F42" s="485">
        <f t="shared" si="9"/>
        <v>134643.34925449794</v>
      </c>
      <c r="G42" s="486">
        <f t="shared" si="10"/>
        <v>22818.635348059011</v>
      </c>
      <c r="H42" s="455">
        <f t="shared" si="11"/>
        <v>22818.635348059011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5"/>
        <v/>
      </c>
      <c r="C43" s="472">
        <f>IF(D11="","-",+C42+1)</f>
        <v>2043</v>
      </c>
      <c r="D43" s="483">
        <f>IF(F42+SUM(E$17:E42)=D$10,F42,D$10-SUM(E$17:E42))</f>
        <v>134643.34925449794</v>
      </c>
      <c r="E43" s="484">
        <f t="shared" si="8"/>
        <v>7877.9047619047615</v>
      </c>
      <c r="F43" s="485">
        <f t="shared" si="9"/>
        <v>126765.44449259317</v>
      </c>
      <c r="G43" s="486">
        <f t="shared" si="10"/>
        <v>21969.308621327178</v>
      </c>
      <c r="H43" s="455">
        <f t="shared" si="11"/>
        <v>21969.308621327178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5"/>
        <v/>
      </c>
      <c r="C44" s="472">
        <f>IF(D11="","-",+C43+1)</f>
        <v>2044</v>
      </c>
      <c r="D44" s="483">
        <f>IF(F43+SUM(E$17:E43)=D$10,F43,D$10-SUM(E$17:E43))</f>
        <v>126765.44449259317</v>
      </c>
      <c r="E44" s="484">
        <f t="shared" si="8"/>
        <v>7877.9047619047615</v>
      </c>
      <c r="F44" s="485">
        <f t="shared" si="9"/>
        <v>118887.53973068841</v>
      </c>
      <c r="G44" s="486">
        <f t="shared" si="10"/>
        <v>21119.981894595345</v>
      </c>
      <c r="H44" s="455">
        <f t="shared" si="11"/>
        <v>21119.981894595345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5"/>
        <v/>
      </c>
      <c r="C45" s="472">
        <f>IF(D11="","-",+C44+1)</f>
        <v>2045</v>
      </c>
      <c r="D45" s="483">
        <f>IF(F44+SUM(E$17:E44)=D$10,F44,D$10-SUM(E$17:E44))</f>
        <v>118887.53973068841</v>
      </c>
      <c r="E45" s="484">
        <f t="shared" si="8"/>
        <v>7877.9047619047615</v>
      </c>
      <c r="F45" s="485">
        <f t="shared" si="9"/>
        <v>111009.63496878365</v>
      </c>
      <c r="G45" s="486">
        <f t="shared" si="10"/>
        <v>20270.655167863508</v>
      </c>
      <c r="H45" s="455">
        <f t="shared" si="11"/>
        <v>20270.655167863508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5"/>
        <v/>
      </c>
      <c r="C46" s="472">
        <f>IF(D11="","-",+C45+1)</f>
        <v>2046</v>
      </c>
      <c r="D46" s="483">
        <f>IF(F45+SUM(E$17:E45)=D$10,F45,D$10-SUM(E$17:E45))</f>
        <v>111009.63496878365</v>
      </c>
      <c r="E46" s="484">
        <f t="shared" si="8"/>
        <v>7877.9047619047615</v>
      </c>
      <c r="F46" s="485">
        <f t="shared" si="9"/>
        <v>103131.73020687888</v>
      </c>
      <c r="G46" s="486">
        <f t="shared" si="10"/>
        <v>19421.328441131678</v>
      </c>
      <c r="H46" s="455">
        <f t="shared" si="11"/>
        <v>19421.328441131678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5"/>
        <v/>
      </c>
      <c r="C47" s="472">
        <f>IF(D11="","-",+C46+1)</f>
        <v>2047</v>
      </c>
      <c r="D47" s="483">
        <f>IF(F46+SUM(E$17:E46)=D$10,F46,D$10-SUM(E$17:E46))</f>
        <v>103131.73020687888</v>
      </c>
      <c r="E47" s="484">
        <f t="shared" si="8"/>
        <v>7877.9047619047615</v>
      </c>
      <c r="F47" s="485">
        <f t="shared" si="9"/>
        <v>95253.825444974122</v>
      </c>
      <c r="G47" s="486">
        <f t="shared" si="10"/>
        <v>18572.001714399841</v>
      </c>
      <c r="H47" s="455">
        <f t="shared" si="11"/>
        <v>18572.001714399841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5"/>
        <v/>
      </c>
      <c r="C48" s="472">
        <f>IF(D11="","-",+C47+1)</f>
        <v>2048</v>
      </c>
      <c r="D48" s="483">
        <f>IF(F47+SUM(E$17:E47)=D$10,F47,D$10-SUM(E$17:E47))</f>
        <v>95253.825444974122</v>
      </c>
      <c r="E48" s="484">
        <f t="shared" si="8"/>
        <v>7877.9047619047615</v>
      </c>
      <c r="F48" s="485">
        <f t="shared" si="9"/>
        <v>87375.920683069358</v>
      </c>
      <c r="G48" s="486">
        <f t="shared" si="10"/>
        <v>17722.674987668008</v>
      </c>
      <c r="H48" s="455">
        <f t="shared" si="11"/>
        <v>17722.674987668008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5"/>
        <v/>
      </c>
      <c r="C49" s="472">
        <f>IF(D11="","-",+C48+1)</f>
        <v>2049</v>
      </c>
      <c r="D49" s="483">
        <f>IF(F48+SUM(E$17:E48)=D$10,F48,D$10-SUM(E$17:E48))</f>
        <v>87375.920683069358</v>
      </c>
      <c r="E49" s="484">
        <f t="shared" si="8"/>
        <v>7877.9047619047615</v>
      </c>
      <c r="F49" s="485">
        <f t="shared" si="9"/>
        <v>79498.015921164595</v>
      </c>
      <c r="G49" s="486">
        <f t="shared" si="10"/>
        <v>16873.348260936174</v>
      </c>
      <c r="H49" s="455">
        <f t="shared" si="11"/>
        <v>16873.348260936174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>
      <c r="B50" s="160" t="str">
        <f t="shared" si="5"/>
        <v/>
      </c>
      <c r="C50" s="472">
        <f>IF(D11="","-",+C49+1)</f>
        <v>2050</v>
      </c>
      <c r="D50" s="483">
        <f>IF(F49+SUM(E$17:E49)=D$10,F49,D$10-SUM(E$17:E49))</f>
        <v>79498.015921164595</v>
      </c>
      <c r="E50" s="484">
        <f t="shared" si="8"/>
        <v>7877.9047619047615</v>
      </c>
      <c r="F50" s="485">
        <f t="shared" si="9"/>
        <v>71620.111159259832</v>
      </c>
      <c r="G50" s="486">
        <f t="shared" si="10"/>
        <v>16024.021534204339</v>
      </c>
      <c r="H50" s="455">
        <f t="shared" si="11"/>
        <v>16024.021534204339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>
      <c r="B51" s="160" t="str">
        <f t="shared" si="5"/>
        <v/>
      </c>
      <c r="C51" s="472">
        <f>IF(D11="","-",+C50+1)</f>
        <v>2051</v>
      </c>
      <c r="D51" s="483">
        <f>IF(F50+SUM(E$17:E50)=D$10,F50,D$10-SUM(E$17:E50))</f>
        <v>71620.111159259832</v>
      </c>
      <c r="E51" s="484">
        <f t="shared" si="8"/>
        <v>7877.9047619047615</v>
      </c>
      <c r="F51" s="485">
        <f t="shared" si="9"/>
        <v>63742.206397355068</v>
      </c>
      <c r="G51" s="486">
        <f t="shared" si="10"/>
        <v>15174.694807472504</v>
      </c>
      <c r="H51" s="455">
        <f t="shared" si="11"/>
        <v>15174.694807472504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>
      <c r="B52" s="160" t="str">
        <f t="shared" si="5"/>
        <v/>
      </c>
      <c r="C52" s="472">
        <f>IF(D11="","-",+C51+1)</f>
        <v>2052</v>
      </c>
      <c r="D52" s="483">
        <f>IF(F51+SUM(E$17:E51)=D$10,F51,D$10-SUM(E$17:E51))</f>
        <v>63742.206397355068</v>
      </c>
      <c r="E52" s="484">
        <f t="shared" si="8"/>
        <v>7877.9047619047615</v>
      </c>
      <c r="F52" s="485">
        <f t="shared" si="9"/>
        <v>55864.301635450305</v>
      </c>
      <c r="G52" s="486">
        <f t="shared" si="10"/>
        <v>14325.368080740671</v>
      </c>
      <c r="H52" s="455">
        <f t="shared" si="11"/>
        <v>14325.368080740671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>
      <c r="B53" s="160" t="str">
        <f t="shared" si="5"/>
        <v/>
      </c>
      <c r="C53" s="472">
        <f>IF(D11="","-",+C52+1)</f>
        <v>2053</v>
      </c>
      <c r="D53" s="483">
        <f>IF(F52+SUM(E$17:E52)=D$10,F52,D$10-SUM(E$17:E52))</f>
        <v>55864.301635450305</v>
      </c>
      <c r="E53" s="484">
        <f t="shared" si="8"/>
        <v>7877.9047619047615</v>
      </c>
      <c r="F53" s="485">
        <f t="shared" si="9"/>
        <v>47986.396873545542</v>
      </c>
      <c r="G53" s="486">
        <f t="shared" si="10"/>
        <v>13476.041354008838</v>
      </c>
      <c r="H53" s="455">
        <f t="shared" si="11"/>
        <v>13476.041354008838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>
      <c r="B54" s="160" t="str">
        <f t="shared" si="5"/>
        <v/>
      </c>
      <c r="C54" s="472">
        <f>IF(D11="","-",+C53+1)</f>
        <v>2054</v>
      </c>
      <c r="D54" s="483">
        <f>IF(F53+SUM(E$17:E53)=D$10,F53,D$10-SUM(E$17:E53))</f>
        <v>47986.396873545542</v>
      </c>
      <c r="E54" s="484">
        <f t="shared" si="8"/>
        <v>7877.9047619047615</v>
      </c>
      <c r="F54" s="485">
        <f t="shared" si="9"/>
        <v>40108.492111640779</v>
      </c>
      <c r="G54" s="486">
        <f t="shared" si="10"/>
        <v>12626.714627277004</v>
      </c>
      <c r="H54" s="455">
        <f t="shared" si="11"/>
        <v>12626.714627277004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>
      <c r="B55" s="160" t="str">
        <f t="shared" si="5"/>
        <v/>
      </c>
      <c r="C55" s="472">
        <f>IF(D11="","-",+C54+1)</f>
        <v>2055</v>
      </c>
      <c r="D55" s="483">
        <f>IF(F54+SUM(E$17:E54)=D$10,F54,D$10-SUM(E$17:E54))</f>
        <v>40108.492111640779</v>
      </c>
      <c r="E55" s="484">
        <f t="shared" si="8"/>
        <v>7877.9047619047615</v>
      </c>
      <c r="F55" s="485">
        <f t="shared" si="9"/>
        <v>32230.587349736015</v>
      </c>
      <c r="G55" s="486">
        <f t="shared" si="10"/>
        <v>11777.387900545169</v>
      </c>
      <c r="H55" s="455">
        <f t="shared" si="11"/>
        <v>11777.387900545169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>
      <c r="B56" s="160" t="str">
        <f t="shared" si="5"/>
        <v/>
      </c>
      <c r="C56" s="472">
        <f>IF(D11="","-",+C55+1)</f>
        <v>2056</v>
      </c>
      <c r="D56" s="483">
        <f>IF(F55+SUM(E$17:E55)=D$10,F55,D$10-SUM(E$17:E55))</f>
        <v>32230.587349736015</v>
      </c>
      <c r="E56" s="484">
        <f t="shared" si="8"/>
        <v>7877.9047619047615</v>
      </c>
      <c r="F56" s="485">
        <f t="shared" si="9"/>
        <v>24352.682587831252</v>
      </c>
      <c r="G56" s="486">
        <f t="shared" si="10"/>
        <v>10928.061173813334</v>
      </c>
      <c r="H56" s="455">
        <f t="shared" si="11"/>
        <v>10928.061173813334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>
      <c r="B57" s="160" t="str">
        <f t="shared" si="5"/>
        <v/>
      </c>
      <c r="C57" s="472">
        <f>IF(D11="","-",+C56+1)</f>
        <v>2057</v>
      </c>
      <c r="D57" s="483">
        <f>IF(F56+SUM(E$17:E56)=D$10,F56,D$10-SUM(E$17:E56))</f>
        <v>24352.682587831252</v>
      </c>
      <c r="E57" s="484">
        <f t="shared" si="8"/>
        <v>7877.9047619047615</v>
      </c>
      <c r="F57" s="485">
        <f t="shared" si="9"/>
        <v>16474.777825926489</v>
      </c>
      <c r="G57" s="486">
        <f t="shared" si="10"/>
        <v>10078.734447081501</v>
      </c>
      <c r="H57" s="455">
        <f t="shared" si="11"/>
        <v>10078.734447081501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>
      <c r="B58" s="160" t="str">
        <f t="shared" si="5"/>
        <v/>
      </c>
      <c r="C58" s="472">
        <f>IF(D11="","-",+C57+1)</f>
        <v>2058</v>
      </c>
      <c r="D58" s="483">
        <f>IF(F57+SUM(E$17:E57)=D$10,F57,D$10-SUM(E$17:E57))</f>
        <v>16474.777825926489</v>
      </c>
      <c r="E58" s="484">
        <f t="shared" si="8"/>
        <v>7877.9047619047615</v>
      </c>
      <c r="F58" s="485">
        <f t="shared" si="9"/>
        <v>8596.8730640217273</v>
      </c>
      <c r="G58" s="486">
        <f t="shared" si="10"/>
        <v>9229.4077203496672</v>
      </c>
      <c r="H58" s="455">
        <f t="shared" si="11"/>
        <v>9229.4077203496672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>
      <c r="B59" s="160" t="str">
        <f t="shared" si="5"/>
        <v/>
      </c>
      <c r="C59" s="472">
        <f>IF(D11="","-",+C58+1)</f>
        <v>2059</v>
      </c>
      <c r="D59" s="483">
        <f>IF(F58+SUM(E$17:E58)=D$10,F58,D$10-SUM(E$17:E58))</f>
        <v>8596.8730640217273</v>
      </c>
      <c r="E59" s="484">
        <f t="shared" si="8"/>
        <v>7877.9047619047615</v>
      </c>
      <c r="F59" s="485">
        <f t="shared" si="9"/>
        <v>718.96830211696579</v>
      </c>
      <c r="G59" s="486">
        <f t="shared" si="10"/>
        <v>8380.0809936178339</v>
      </c>
      <c r="H59" s="455">
        <f t="shared" si="11"/>
        <v>8380.0809936178339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>
      <c r="B60" s="160" t="str">
        <f t="shared" si="5"/>
        <v/>
      </c>
      <c r="C60" s="472">
        <f>IF(D11="","-",+C59+1)</f>
        <v>2060</v>
      </c>
      <c r="D60" s="483">
        <f>IF(F59+SUM(E$17:E59)=D$10,F59,D$10-SUM(E$17:E59))</f>
        <v>718.96830211696579</v>
      </c>
      <c r="E60" s="484">
        <f t="shared" si="8"/>
        <v>718.96830211696579</v>
      </c>
      <c r="F60" s="485">
        <f t="shared" si="9"/>
        <v>0</v>
      </c>
      <c r="G60" s="486">
        <f t="shared" si="10"/>
        <v>757.72473629054309</v>
      </c>
      <c r="H60" s="455">
        <f t="shared" si="11"/>
        <v>757.72473629054309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>
      <c r="B61" s="160" t="str">
        <f t="shared" si="5"/>
        <v/>
      </c>
      <c r="C61" s="472">
        <f>IF(D11="","-",+C60+1)</f>
        <v>2061</v>
      </c>
      <c r="D61" s="483">
        <f>IF(F60+SUM(E$17:E60)=D$10,F60,D$10-SUM(E$17:E60))</f>
        <v>0</v>
      </c>
      <c r="E61" s="484">
        <f t="shared" si="8"/>
        <v>0</v>
      </c>
      <c r="F61" s="485">
        <f t="shared" si="9"/>
        <v>0</v>
      </c>
      <c r="G61" s="486">
        <f t="shared" si="10"/>
        <v>0</v>
      </c>
      <c r="H61" s="455">
        <f t="shared" si="11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>
      <c r="B62" s="160" t="str">
        <f t="shared" si="5"/>
        <v/>
      </c>
      <c r="C62" s="472">
        <f>IF(D11="","-",+C61+1)</f>
        <v>2062</v>
      </c>
      <c r="D62" s="483">
        <f>IF(F61+SUM(E$17:E61)=D$10,F61,D$10-SUM(E$17:E61))</f>
        <v>0</v>
      </c>
      <c r="E62" s="484">
        <f t="shared" si="8"/>
        <v>0</v>
      </c>
      <c r="F62" s="485">
        <f t="shared" si="9"/>
        <v>0</v>
      </c>
      <c r="G62" s="486">
        <f t="shared" si="10"/>
        <v>0</v>
      </c>
      <c r="H62" s="455">
        <f t="shared" si="11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>
      <c r="B63" s="160" t="str">
        <f t="shared" si="5"/>
        <v/>
      </c>
      <c r="C63" s="472">
        <f>IF(D11="","-",+C62+1)</f>
        <v>2063</v>
      </c>
      <c r="D63" s="483">
        <f>IF(F62+SUM(E$17:E62)=D$10,F62,D$10-SUM(E$17:E62))</f>
        <v>0</v>
      </c>
      <c r="E63" s="484">
        <f t="shared" si="8"/>
        <v>0</v>
      </c>
      <c r="F63" s="485">
        <f t="shared" si="9"/>
        <v>0</v>
      </c>
      <c r="G63" s="486">
        <f t="shared" si="10"/>
        <v>0</v>
      </c>
      <c r="H63" s="455">
        <f t="shared" si="11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>
      <c r="B64" s="160" t="str">
        <f t="shared" si="5"/>
        <v/>
      </c>
      <c r="C64" s="472">
        <f>IF(D11="","-",+C63+1)</f>
        <v>2064</v>
      </c>
      <c r="D64" s="483">
        <f>IF(F63+SUM(E$17:E63)=D$10,F63,D$10-SUM(E$17:E63))</f>
        <v>0</v>
      </c>
      <c r="E64" s="484">
        <f t="shared" si="8"/>
        <v>0</v>
      </c>
      <c r="F64" s="485">
        <f t="shared" si="9"/>
        <v>0</v>
      </c>
      <c r="G64" s="486">
        <f t="shared" si="10"/>
        <v>0</v>
      </c>
      <c r="H64" s="455">
        <f t="shared" si="11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>
      <c r="B65" s="160" t="str">
        <f t="shared" si="5"/>
        <v/>
      </c>
      <c r="C65" s="472">
        <f>IF(D11="","-",+C64+1)</f>
        <v>2065</v>
      </c>
      <c r="D65" s="483">
        <f>IF(F64+SUM(E$17:E64)=D$10,F64,D$10-SUM(E$17:E64))</f>
        <v>0</v>
      </c>
      <c r="E65" s="484">
        <f t="shared" si="8"/>
        <v>0</v>
      </c>
      <c r="F65" s="485">
        <f t="shared" si="9"/>
        <v>0</v>
      </c>
      <c r="G65" s="486">
        <f t="shared" si="10"/>
        <v>0</v>
      </c>
      <c r="H65" s="455">
        <f t="shared" si="11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>
      <c r="B66" s="160" t="str">
        <f t="shared" si="5"/>
        <v/>
      </c>
      <c r="C66" s="472">
        <f>IF(D11="","-",+C65+1)</f>
        <v>2066</v>
      </c>
      <c r="D66" s="483">
        <f>IF(F65+SUM(E$17:E65)=D$10,F65,D$10-SUM(E$17:E65))</f>
        <v>0</v>
      </c>
      <c r="E66" s="484">
        <f t="shared" si="8"/>
        <v>0</v>
      </c>
      <c r="F66" s="485">
        <f t="shared" si="9"/>
        <v>0</v>
      </c>
      <c r="G66" s="486">
        <f t="shared" si="10"/>
        <v>0</v>
      </c>
      <c r="H66" s="455">
        <f t="shared" si="11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>
      <c r="B67" s="160" t="str">
        <f t="shared" si="5"/>
        <v/>
      </c>
      <c r="C67" s="472">
        <f>IF(D11="","-",+C66+1)</f>
        <v>2067</v>
      </c>
      <c r="D67" s="483">
        <f>IF(F66+SUM(E$17:E66)=D$10,F66,D$10-SUM(E$17:E66))</f>
        <v>0</v>
      </c>
      <c r="E67" s="484">
        <f t="shared" si="8"/>
        <v>0</v>
      </c>
      <c r="F67" s="485">
        <f t="shared" si="9"/>
        <v>0</v>
      </c>
      <c r="G67" s="486">
        <f t="shared" si="10"/>
        <v>0</v>
      </c>
      <c r="H67" s="455">
        <f t="shared" si="11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>
      <c r="B68" s="160" t="str">
        <f t="shared" si="5"/>
        <v/>
      </c>
      <c r="C68" s="472">
        <f>IF(D11="","-",+C67+1)</f>
        <v>2068</v>
      </c>
      <c r="D68" s="483">
        <f>IF(F67+SUM(E$17:E67)=D$10,F67,D$10-SUM(E$17:E67))</f>
        <v>0</v>
      </c>
      <c r="E68" s="484">
        <f t="shared" si="8"/>
        <v>0</v>
      </c>
      <c r="F68" s="485">
        <f t="shared" si="9"/>
        <v>0</v>
      </c>
      <c r="G68" s="486">
        <f t="shared" si="10"/>
        <v>0</v>
      </c>
      <c r="H68" s="455">
        <f t="shared" si="11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>
      <c r="B69" s="160" t="str">
        <f t="shared" si="5"/>
        <v/>
      </c>
      <c r="C69" s="472">
        <f>IF(D11="","-",+C68+1)</f>
        <v>2069</v>
      </c>
      <c r="D69" s="483">
        <f>IF(F68+SUM(E$17:E68)=D$10,F68,D$10-SUM(E$17:E68))</f>
        <v>0</v>
      </c>
      <c r="E69" s="484">
        <f t="shared" si="8"/>
        <v>0</v>
      </c>
      <c r="F69" s="485">
        <f t="shared" si="9"/>
        <v>0</v>
      </c>
      <c r="G69" s="486">
        <f t="shared" si="10"/>
        <v>0</v>
      </c>
      <c r="H69" s="455">
        <f t="shared" si="11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>
      <c r="B70" s="160" t="str">
        <f t="shared" si="5"/>
        <v/>
      </c>
      <c r="C70" s="472">
        <f>IF(D11="","-",+C69+1)</f>
        <v>2070</v>
      </c>
      <c r="D70" s="483">
        <f>IF(F69+SUM(E$17:E69)=D$10,F69,D$10-SUM(E$17:E69))</f>
        <v>0</v>
      </c>
      <c r="E70" s="484">
        <f t="shared" si="8"/>
        <v>0</v>
      </c>
      <c r="F70" s="485">
        <f t="shared" si="9"/>
        <v>0</v>
      </c>
      <c r="G70" s="486">
        <f t="shared" si="10"/>
        <v>0</v>
      </c>
      <c r="H70" s="455">
        <f t="shared" si="11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>
      <c r="B71" s="160" t="str">
        <f t="shared" si="5"/>
        <v/>
      </c>
      <c r="C71" s="472">
        <f>IF(D11="","-",+C70+1)</f>
        <v>2071</v>
      </c>
      <c r="D71" s="483">
        <f>IF(F70+SUM(E$17:E70)=D$10,F70,D$10-SUM(E$17:E70))</f>
        <v>0</v>
      </c>
      <c r="E71" s="484">
        <f t="shared" si="8"/>
        <v>0</v>
      </c>
      <c r="F71" s="485">
        <f t="shared" si="9"/>
        <v>0</v>
      </c>
      <c r="G71" s="486">
        <f t="shared" si="10"/>
        <v>0</v>
      </c>
      <c r="H71" s="455">
        <f t="shared" si="11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2072</v>
      </c>
      <c r="D72" s="612">
        <f>IF(F71+SUM(E$17:E71)=D$10,F71,D$10-SUM(E$17:E71))</f>
        <v>0</v>
      </c>
      <c r="E72" s="491">
        <f t="shared" si="8"/>
        <v>0</v>
      </c>
      <c r="F72" s="490">
        <f t="shared" si="9"/>
        <v>0</v>
      </c>
      <c r="G72" s="544">
        <f t="shared" si="10"/>
        <v>0</v>
      </c>
      <c r="H72" s="435">
        <f t="shared" si="11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>
      <c r="C73" s="346" t="s">
        <v>77</v>
      </c>
      <c r="D73" s="347"/>
      <c r="E73" s="347">
        <f>SUM(E17:E72)</f>
        <v>330871.99999999983</v>
      </c>
      <c r="F73" s="347"/>
      <c r="G73" s="347">
        <f>SUM(G17:G72)</f>
        <v>1088682.5066556453</v>
      </c>
      <c r="H73" s="347">
        <f>SUM(H17:H72)</f>
        <v>1088682.5066556453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21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41623.00118882845</v>
      </c>
      <c r="N87" s="508">
        <f>IF(J92&lt;D11,0,VLOOKUP(J92,C17:O72,11))</f>
        <v>41623.00118882845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43167.870996202138</v>
      </c>
      <c r="N88" s="512">
        <f>IF(J92&lt;D11,0,VLOOKUP(J92,C99:P154,7))</f>
        <v>43167.870996202138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Darlington-Roman Nose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1544.8698073736887</v>
      </c>
      <c r="N89" s="517">
        <f>+N88-N87</f>
        <v>1544.8698073736887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TP2015027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330872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2017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7878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2017</v>
      </c>
      <c r="D99" s="584">
        <v>0</v>
      </c>
      <c r="E99" s="608">
        <v>3596</v>
      </c>
      <c r="F99" s="584">
        <v>327228</v>
      </c>
      <c r="G99" s="608">
        <v>163614</v>
      </c>
      <c r="H99" s="587">
        <v>24350.848452847567</v>
      </c>
      <c r="I99" s="607">
        <v>24350.848452847567</v>
      </c>
      <c r="J99" s="478">
        <f t="shared" ref="J99:J130" si="12">+I99-H99</f>
        <v>0</v>
      </c>
      <c r="K99" s="478"/>
      <c r="L99" s="477">
        <f>+H99</f>
        <v>24350.848452847567</v>
      </c>
      <c r="M99" s="477">
        <f t="shared" ref="M99:M130" si="13">IF(L99&lt;&gt;0,+H99-L99,0)</f>
        <v>0</v>
      </c>
      <c r="N99" s="477">
        <f>+I99</f>
        <v>24350.848452847567</v>
      </c>
      <c r="O99" s="477">
        <f t="shared" ref="O99:O130" si="14">IF(N99&lt;&gt;0,+I99-N99,0)</f>
        <v>0</v>
      </c>
      <c r="P99" s="477">
        <f t="shared" ref="P99:P130" si="15">+O99-M99</f>
        <v>0</v>
      </c>
    </row>
    <row r="100" spans="1:16">
      <c r="B100" s="160" t="str">
        <f>IF(D100=F99,"","IU")</f>
        <v/>
      </c>
      <c r="C100" s="472">
        <f>IF(D93="","-",+C99+1)</f>
        <v>2018</v>
      </c>
      <c r="D100" s="578">
        <v>327228</v>
      </c>
      <c r="E100" s="579">
        <v>7694</v>
      </c>
      <c r="F100" s="578">
        <v>319534</v>
      </c>
      <c r="G100" s="579">
        <v>323381</v>
      </c>
      <c r="H100" s="602">
        <v>40916.73033605556</v>
      </c>
      <c r="I100" s="578">
        <v>40916.73033605556</v>
      </c>
      <c r="J100" s="478">
        <f t="shared" si="12"/>
        <v>0</v>
      </c>
      <c r="K100" s="478"/>
      <c r="L100" s="476">
        <f>H100</f>
        <v>40916.73033605556</v>
      </c>
      <c r="M100" s="348">
        <f>IF(L100&lt;&gt;0,+H100-L100,0)</f>
        <v>0</v>
      </c>
      <c r="N100" s="476">
        <f>I100</f>
        <v>40916.73033605556</v>
      </c>
      <c r="O100" s="475">
        <f>IF(N100&lt;&gt;0,+I100-N100,0)</f>
        <v>0</v>
      </c>
      <c r="P100" s="478">
        <f>+O100-M100</f>
        <v>0</v>
      </c>
    </row>
    <row r="101" spans="1:16">
      <c r="B101" s="160" t="str">
        <f t="shared" ref="B101:B154" si="16">IF(D101=F100,"","IU")</f>
        <v>IU</v>
      </c>
      <c r="C101" s="472">
        <f>IF(D93="","-",+C100+1)</f>
        <v>2019</v>
      </c>
      <c r="D101" s="578">
        <v>319582</v>
      </c>
      <c r="E101" s="579">
        <v>8070</v>
      </c>
      <c r="F101" s="578">
        <v>311512</v>
      </c>
      <c r="G101" s="579">
        <v>315547</v>
      </c>
      <c r="H101" s="602">
        <v>40607.321587664657</v>
      </c>
      <c r="I101" s="578">
        <v>40607.321587664657</v>
      </c>
      <c r="J101" s="478">
        <f t="shared" si="12"/>
        <v>0</v>
      </c>
      <c r="K101" s="478"/>
      <c r="L101" s="476">
        <f>H101</f>
        <v>40607.321587664657</v>
      </c>
      <c r="M101" s="348">
        <f>IF(L101&lt;&gt;0,+H101-L101,0)</f>
        <v>0</v>
      </c>
      <c r="N101" s="476">
        <f>I101</f>
        <v>40607.321587664657</v>
      </c>
      <c r="O101" s="478">
        <f t="shared" si="14"/>
        <v>0</v>
      </c>
      <c r="P101" s="478">
        <f t="shared" si="15"/>
        <v>0</v>
      </c>
    </row>
    <row r="102" spans="1:16">
      <c r="B102" s="160" t="str">
        <f t="shared" si="16"/>
        <v/>
      </c>
      <c r="C102" s="472">
        <f>IF(D93="","-",+C101+1)</f>
        <v>2020</v>
      </c>
      <c r="D102" s="578">
        <v>311512</v>
      </c>
      <c r="E102" s="579">
        <v>7695</v>
      </c>
      <c r="F102" s="578">
        <v>303817</v>
      </c>
      <c r="G102" s="579">
        <v>307664.5</v>
      </c>
      <c r="H102" s="602">
        <v>43167.870996202138</v>
      </c>
      <c r="I102" s="578">
        <v>43167.870996202138</v>
      </c>
      <c r="J102" s="478">
        <f t="shared" si="12"/>
        <v>0</v>
      </c>
      <c r="K102" s="478"/>
      <c r="L102" s="476">
        <f>H102</f>
        <v>43167.870996202138</v>
      </c>
      <c r="M102" s="348">
        <f>IF(L102&lt;&gt;0,+H102-L102,0)</f>
        <v>0</v>
      </c>
      <c r="N102" s="476">
        <f>I102</f>
        <v>43167.870996202138</v>
      </c>
      <c r="O102" s="478">
        <f t="shared" si="14"/>
        <v>0</v>
      </c>
      <c r="P102" s="478">
        <f t="shared" si="15"/>
        <v>0</v>
      </c>
    </row>
    <row r="103" spans="1:16">
      <c r="B103" s="160" t="str">
        <f t="shared" si="16"/>
        <v/>
      </c>
      <c r="C103" s="472">
        <f>IF(D93="","-",+C102+1)</f>
        <v>2021</v>
      </c>
      <c r="D103" s="346">
        <f>IF(F102+SUM(E$99:E102)=D$92,F102,D$92-SUM(E$99:E102))</f>
        <v>303817</v>
      </c>
      <c r="E103" s="484">
        <f t="shared" ref="E103:E154" si="17">IF(+J$96&lt;F102,J$96,D103)</f>
        <v>7878</v>
      </c>
      <c r="F103" s="485">
        <f t="shared" ref="F103:F154" si="18">+D103-E103</f>
        <v>295939</v>
      </c>
      <c r="G103" s="485">
        <f t="shared" ref="G103:G154" si="19">+(F103+D103)/2</f>
        <v>299878</v>
      </c>
      <c r="H103" s="613">
        <f t="shared" ref="H103:H154" si="20">+J$94*G103+E103</f>
        <v>40208.220770187065</v>
      </c>
      <c r="I103" s="614">
        <f t="shared" ref="I103:I154" si="21">+J$95*G103+E103</f>
        <v>40208.220770187065</v>
      </c>
      <c r="J103" s="478">
        <f t="shared" si="12"/>
        <v>0</v>
      </c>
      <c r="K103" s="478"/>
      <c r="L103" s="487"/>
      <c r="M103" s="478">
        <f t="shared" si="13"/>
        <v>0</v>
      </c>
      <c r="N103" s="487"/>
      <c r="O103" s="478">
        <f t="shared" si="14"/>
        <v>0</v>
      </c>
      <c r="P103" s="478">
        <f t="shared" si="15"/>
        <v>0</v>
      </c>
    </row>
    <row r="104" spans="1:16">
      <c r="B104" s="160" t="str">
        <f t="shared" si="16"/>
        <v/>
      </c>
      <c r="C104" s="472">
        <f>IF(D93="","-",+C103+1)</f>
        <v>2022</v>
      </c>
      <c r="D104" s="346">
        <f>IF(F103+SUM(E$99:E103)=D$92,F103,D$92-SUM(E$99:E103))</f>
        <v>295939</v>
      </c>
      <c r="E104" s="484">
        <f t="shared" si="17"/>
        <v>7878</v>
      </c>
      <c r="F104" s="485">
        <f t="shared" si="18"/>
        <v>288061</v>
      </c>
      <c r="G104" s="485">
        <f t="shared" si="19"/>
        <v>292000</v>
      </c>
      <c r="H104" s="613">
        <f t="shared" si="20"/>
        <v>39358.883775717535</v>
      </c>
      <c r="I104" s="614">
        <f t="shared" si="21"/>
        <v>39358.883775717535</v>
      </c>
      <c r="J104" s="478">
        <f t="shared" si="12"/>
        <v>0</v>
      </c>
      <c r="K104" s="478"/>
      <c r="L104" s="487"/>
      <c r="M104" s="478">
        <f t="shared" si="13"/>
        <v>0</v>
      </c>
      <c r="N104" s="487"/>
      <c r="O104" s="478">
        <f t="shared" si="14"/>
        <v>0</v>
      </c>
      <c r="P104" s="478">
        <f t="shared" si="15"/>
        <v>0</v>
      </c>
    </row>
    <row r="105" spans="1:16">
      <c r="B105" s="160" t="str">
        <f t="shared" si="16"/>
        <v/>
      </c>
      <c r="C105" s="472">
        <f>IF(D93="","-",+C104+1)</f>
        <v>2023</v>
      </c>
      <c r="D105" s="346">
        <f>IF(F104+SUM(E$99:E104)=D$92,F104,D$92-SUM(E$99:E104))</f>
        <v>288061</v>
      </c>
      <c r="E105" s="484">
        <f t="shared" si="17"/>
        <v>7878</v>
      </c>
      <c r="F105" s="485">
        <f t="shared" si="18"/>
        <v>280183</v>
      </c>
      <c r="G105" s="485">
        <f t="shared" si="19"/>
        <v>284122</v>
      </c>
      <c r="H105" s="613">
        <f t="shared" si="20"/>
        <v>38509.546781248006</v>
      </c>
      <c r="I105" s="614">
        <f t="shared" si="21"/>
        <v>38509.546781248006</v>
      </c>
      <c r="J105" s="478">
        <f t="shared" si="12"/>
        <v>0</v>
      </c>
      <c r="K105" s="478"/>
      <c r="L105" s="487"/>
      <c r="M105" s="478">
        <f t="shared" si="13"/>
        <v>0</v>
      </c>
      <c r="N105" s="487"/>
      <c r="O105" s="478">
        <f t="shared" si="14"/>
        <v>0</v>
      </c>
      <c r="P105" s="478">
        <f t="shared" si="15"/>
        <v>0</v>
      </c>
    </row>
    <row r="106" spans="1:16">
      <c r="B106" s="160" t="str">
        <f t="shared" si="16"/>
        <v/>
      </c>
      <c r="C106" s="472">
        <f>IF(D93="","-",+C105+1)</f>
        <v>2024</v>
      </c>
      <c r="D106" s="346">
        <f>IF(F105+SUM(E$99:E105)=D$92,F105,D$92-SUM(E$99:E105))</f>
        <v>280183</v>
      </c>
      <c r="E106" s="484">
        <f t="shared" si="17"/>
        <v>7878</v>
      </c>
      <c r="F106" s="485">
        <f t="shared" si="18"/>
        <v>272305</v>
      </c>
      <c r="G106" s="485">
        <f t="shared" si="19"/>
        <v>276244</v>
      </c>
      <c r="H106" s="613">
        <f t="shared" si="20"/>
        <v>37660.209786778476</v>
      </c>
      <c r="I106" s="614">
        <f t="shared" si="21"/>
        <v>37660.209786778476</v>
      </c>
      <c r="J106" s="478">
        <f t="shared" si="12"/>
        <v>0</v>
      </c>
      <c r="K106" s="478"/>
      <c r="L106" s="487"/>
      <c r="M106" s="478">
        <f t="shared" si="13"/>
        <v>0</v>
      </c>
      <c r="N106" s="487"/>
      <c r="O106" s="478">
        <f t="shared" si="14"/>
        <v>0</v>
      </c>
      <c r="P106" s="478">
        <f t="shared" si="15"/>
        <v>0</v>
      </c>
    </row>
    <row r="107" spans="1:16">
      <c r="B107" s="160" t="str">
        <f t="shared" si="16"/>
        <v/>
      </c>
      <c r="C107" s="472">
        <f>IF(D93="","-",+C106+1)</f>
        <v>2025</v>
      </c>
      <c r="D107" s="346">
        <f>IF(F106+SUM(E$99:E106)=D$92,F106,D$92-SUM(E$99:E106))</f>
        <v>272305</v>
      </c>
      <c r="E107" s="484">
        <f t="shared" si="17"/>
        <v>7878</v>
      </c>
      <c r="F107" s="485">
        <f t="shared" si="18"/>
        <v>264427</v>
      </c>
      <c r="G107" s="485">
        <f t="shared" si="19"/>
        <v>268366</v>
      </c>
      <c r="H107" s="613">
        <f t="shared" si="20"/>
        <v>36810.872792308946</v>
      </c>
      <c r="I107" s="614">
        <f t="shared" si="21"/>
        <v>36810.872792308946</v>
      </c>
      <c r="J107" s="478">
        <f t="shared" si="12"/>
        <v>0</v>
      </c>
      <c r="K107" s="478"/>
      <c r="L107" s="487"/>
      <c r="M107" s="478">
        <f t="shared" si="13"/>
        <v>0</v>
      </c>
      <c r="N107" s="487"/>
      <c r="O107" s="478">
        <f t="shared" si="14"/>
        <v>0</v>
      </c>
      <c r="P107" s="478">
        <f t="shared" si="15"/>
        <v>0</v>
      </c>
    </row>
    <row r="108" spans="1:16">
      <c r="B108" s="160" t="str">
        <f t="shared" si="16"/>
        <v/>
      </c>
      <c r="C108" s="472">
        <f>IF(D93="","-",+C107+1)</f>
        <v>2026</v>
      </c>
      <c r="D108" s="346">
        <f>IF(F107+SUM(E$99:E107)=D$92,F107,D$92-SUM(E$99:E107))</f>
        <v>264427</v>
      </c>
      <c r="E108" s="484">
        <f t="shared" si="17"/>
        <v>7878</v>
      </c>
      <c r="F108" s="485">
        <f t="shared" si="18"/>
        <v>256549</v>
      </c>
      <c r="G108" s="485">
        <f t="shared" si="19"/>
        <v>260488</v>
      </c>
      <c r="H108" s="613">
        <f t="shared" si="20"/>
        <v>35961.535797839417</v>
      </c>
      <c r="I108" s="614">
        <f t="shared" si="21"/>
        <v>35961.535797839417</v>
      </c>
      <c r="J108" s="478">
        <f t="shared" si="12"/>
        <v>0</v>
      </c>
      <c r="K108" s="478"/>
      <c r="L108" s="487"/>
      <c r="M108" s="478">
        <f t="shared" si="13"/>
        <v>0</v>
      </c>
      <c r="N108" s="487"/>
      <c r="O108" s="478">
        <f t="shared" si="14"/>
        <v>0</v>
      </c>
      <c r="P108" s="478">
        <f t="shared" si="15"/>
        <v>0</v>
      </c>
    </row>
    <row r="109" spans="1:16">
      <c r="B109" s="160" t="str">
        <f t="shared" si="16"/>
        <v/>
      </c>
      <c r="C109" s="472">
        <f>IF(D93="","-",+C108+1)</f>
        <v>2027</v>
      </c>
      <c r="D109" s="346">
        <f>IF(F108+SUM(E$99:E108)=D$92,F108,D$92-SUM(E$99:E108))</f>
        <v>256549</v>
      </c>
      <c r="E109" s="484">
        <f t="shared" si="17"/>
        <v>7878</v>
      </c>
      <c r="F109" s="485">
        <f t="shared" si="18"/>
        <v>248671</v>
      </c>
      <c r="G109" s="485">
        <f t="shared" si="19"/>
        <v>252610</v>
      </c>
      <c r="H109" s="613">
        <f t="shared" si="20"/>
        <v>35112.198803369887</v>
      </c>
      <c r="I109" s="614">
        <f t="shared" si="21"/>
        <v>35112.198803369887</v>
      </c>
      <c r="J109" s="478">
        <f t="shared" si="12"/>
        <v>0</v>
      </c>
      <c r="K109" s="478"/>
      <c r="L109" s="487"/>
      <c r="M109" s="478">
        <f t="shared" si="13"/>
        <v>0</v>
      </c>
      <c r="N109" s="487"/>
      <c r="O109" s="478">
        <f t="shared" si="14"/>
        <v>0</v>
      </c>
      <c r="P109" s="478">
        <f t="shared" si="15"/>
        <v>0</v>
      </c>
    </row>
    <row r="110" spans="1:16">
      <c r="B110" s="160" t="str">
        <f t="shared" si="16"/>
        <v/>
      </c>
      <c r="C110" s="472">
        <f>IF(D93="","-",+C109+1)</f>
        <v>2028</v>
      </c>
      <c r="D110" s="346">
        <f>IF(F109+SUM(E$99:E109)=D$92,F109,D$92-SUM(E$99:E109))</f>
        <v>248671</v>
      </c>
      <c r="E110" s="484">
        <f t="shared" si="17"/>
        <v>7878</v>
      </c>
      <c r="F110" s="485">
        <f t="shared" si="18"/>
        <v>240793</v>
      </c>
      <c r="G110" s="485">
        <f t="shared" si="19"/>
        <v>244732</v>
      </c>
      <c r="H110" s="613">
        <f t="shared" si="20"/>
        <v>34262.861808900358</v>
      </c>
      <c r="I110" s="614">
        <f t="shared" si="21"/>
        <v>34262.861808900358</v>
      </c>
      <c r="J110" s="478">
        <f t="shared" si="12"/>
        <v>0</v>
      </c>
      <c r="K110" s="478"/>
      <c r="L110" s="487"/>
      <c r="M110" s="478">
        <f t="shared" si="13"/>
        <v>0</v>
      </c>
      <c r="N110" s="487"/>
      <c r="O110" s="478">
        <f t="shared" si="14"/>
        <v>0</v>
      </c>
      <c r="P110" s="478">
        <f t="shared" si="15"/>
        <v>0</v>
      </c>
    </row>
    <row r="111" spans="1:16">
      <c r="B111" s="160" t="str">
        <f t="shared" si="16"/>
        <v/>
      </c>
      <c r="C111" s="472">
        <f>IF(D93="","-",+C110+1)</f>
        <v>2029</v>
      </c>
      <c r="D111" s="346">
        <f>IF(F110+SUM(E$99:E110)=D$92,F110,D$92-SUM(E$99:E110))</f>
        <v>240793</v>
      </c>
      <c r="E111" s="484">
        <f t="shared" si="17"/>
        <v>7878</v>
      </c>
      <c r="F111" s="485">
        <f t="shared" si="18"/>
        <v>232915</v>
      </c>
      <c r="G111" s="485">
        <f t="shared" si="19"/>
        <v>236854</v>
      </c>
      <c r="H111" s="613">
        <f t="shared" si="20"/>
        <v>33413.524814430828</v>
      </c>
      <c r="I111" s="614">
        <f t="shared" si="21"/>
        <v>33413.524814430828</v>
      </c>
      <c r="J111" s="478">
        <f t="shared" si="12"/>
        <v>0</v>
      </c>
      <c r="K111" s="478"/>
      <c r="L111" s="487"/>
      <c r="M111" s="478">
        <f t="shared" si="13"/>
        <v>0</v>
      </c>
      <c r="N111" s="487"/>
      <c r="O111" s="478">
        <f t="shared" si="14"/>
        <v>0</v>
      </c>
      <c r="P111" s="478">
        <f t="shared" si="15"/>
        <v>0</v>
      </c>
    </row>
    <row r="112" spans="1:16">
      <c r="B112" s="160" t="str">
        <f t="shared" si="16"/>
        <v/>
      </c>
      <c r="C112" s="472">
        <f>IF(D93="","-",+C111+1)</f>
        <v>2030</v>
      </c>
      <c r="D112" s="346">
        <f>IF(F111+SUM(E$99:E111)=D$92,F111,D$92-SUM(E$99:E111))</f>
        <v>232915</v>
      </c>
      <c r="E112" s="484">
        <f t="shared" si="17"/>
        <v>7878</v>
      </c>
      <c r="F112" s="485">
        <f t="shared" si="18"/>
        <v>225037</v>
      </c>
      <c r="G112" s="485">
        <f t="shared" si="19"/>
        <v>228976</v>
      </c>
      <c r="H112" s="613">
        <f t="shared" si="20"/>
        <v>32564.187819961295</v>
      </c>
      <c r="I112" s="614">
        <f t="shared" si="21"/>
        <v>32564.187819961295</v>
      </c>
      <c r="J112" s="478">
        <f t="shared" si="12"/>
        <v>0</v>
      </c>
      <c r="K112" s="478"/>
      <c r="L112" s="487"/>
      <c r="M112" s="478">
        <f t="shared" si="13"/>
        <v>0</v>
      </c>
      <c r="N112" s="487"/>
      <c r="O112" s="478">
        <f t="shared" si="14"/>
        <v>0</v>
      </c>
      <c r="P112" s="478">
        <f t="shared" si="15"/>
        <v>0</v>
      </c>
    </row>
    <row r="113" spans="2:16">
      <c r="B113" s="160" t="str">
        <f t="shared" si="16"/>
        <v/>
      </c>
      <c r="C113" s="472">
        <f>IF(D93="","-",+C112+1)</f>
        <v>2031</v>
      </c>
      <c r="D113" s="346">
        <f>IF(F112+SUM(E$99:E112)=D$92,F112,D$92-SUM(E$99:E112))</f>
        <v>225037</v>
      </c>
      <c r="E113" s="484">
        <f t="shared" si="17"/>
        <v>7878</v>
      </c>
      <c r="F113" s="485">
        <f t="shared" si="18"/>
        <v>217159</v>
      </c>
      <c r="G113" s="485">
        <f t="shared" si="19"/>
        <v>221098</v>
      </c>
      <c r="H113" s="613">
        <f t="shared" si="20"/>
        <v>31714.850825491761</v>
      </c>
      <c r="I113" s="614">
        <f t="shared" si="21"/>
        <v>31714.850825491761</v>
      </c>
      <c r="J113" s="478">
        <f t="shared" si="12"/>
        <v>0</v>
      </c>
      <c r="K113" s="478"/>
      <c r="L113" s="487"/>
      <c r="M113" s="478">
        <f t="shared" si="13"/>
        <v>0</v>
      </c>
      <c r="N113" s="487"/>
      <c r="O113" s="478">
        <f t="shared" si="14"/>
        <v>0</v>
      </c>
      <c r="P113" s="478">
        <f t="shared" si="15"/>
        <v>0</v>
      </c>
    </row>
    <row r="114" spans="2:16">
      <c r="B114" s="160" t="str">
        <f t="shared" si="16"/>
        <v/>
      </c>
      <c r="C114" s="472">
        <f>IF(D93="","-",+C113+1)</f>
        <v>2032</v>
      </c>
      <c r="D114" s="346">
        <f>IF(F113+SUM(E$99:E113)=D$92,F113,D$92-SUM(E$99:E113))</f>
        <v>217159</v>
      </c>
      <c r="E114" s="484">
        <f t="shared" si="17"/>
        <v>7878</v>
      </c>
      <c r="F114" s="485">
        <f t="shared" si="18"/>
        <v>209281</v>
      </c>
      <c r="G114" s="485">
        <f t="shared" si="19"/>
        <v>213220</v>
      </c>
      <c r="H114" s="613">
        <f t="shared" si="20"/>
        <v>30865.513831022232</v>
      </c>
      <c r="I114" s="614">
        <f t="shared" si="21"/>
        <v>30865.513831022232</v>
      </c>
      <c r="J114" s="478">
        <f t="shared" si="12"/>
        <v>0</v>
      </c>
      <c r="K114" s="478"/>
      <c r="L114" s="487"/>
      <c r="M114" s="478">
        <f t="shared" si="13"/>
        <v>0</v>
      </c>
      <c r="N114" s="487"/>
      <c r="O114" s="478">
        <f t="shared" si="14"/>
        <v>0</v>
      </c>
      <c r="P114" s="478">
        <f t="shared" si="15"/>
        <v>0</v>
      </c>
    </row>
    <row r="115" spans="2:16">
      <c r="B115" s="160" t="str">
        <f t="shared" si="16"/>
        <v/>
      </c>
      <c r="C115" s="472">
        <f>IF(D93="","-",+C114+1)</f>
        <v>2033</v>
      </c>
      <c r="D115" s="346">
        <f>IF(F114+SUM(E$99:E114)=D$92,F114,D$92-SUM(E$99:E114))</f>
        <v>209281</v>
      </c>
      <c r="E115" s="484">
        <f t="shared" si="17"/>
        <v>7878</v>
      </c>
      <c r="F115" s="485">
        <f t="shared" si="18"/>
        <v>201403</v>
      </c>
      <c r="G115" s="485">
        <f t="shared" si="19"/>
        <v>205342</v>
      </c>
      <c r="H115" s="613">
        <f t="shared" si="20"/>
        <v>30016.176836552702</v>
      </c>
      <c r="I115" s="614">
        <f t="shared" si="21"/>
        <v>30016.176836552702</v>
      </c>
      <c r="J115" s="478">
        <f t="shared" si="12"/>
        <v>0</v>
      </c>
      <c r="K115" s="478"/>
      <c r="L115" s="487"/>
      <c r="M115" s="478">
        <f t="shared" si="13"/>
        <v>0</v>
      </c>
      <c r="N115" s="487"/>
      <c r="O115" s="478">
        <f t="shared" si="14"/>
        <v>0</v>
      </c>
      <c r="P115" s="478">
        <f t="shared" si="15"/>
        <v>0</v>
      </c>
    </row>
    <row r="116" spans="2:16">
      <c r="B116" s="160" t="str">
        <f t="shared" si="16"/>
        <v/>
      </c>
      <c r="C116" s="472">
        <f>IF(D93="","-",+C115+1)</f>
        <v>2034</v>
      </c>
      <c r="D116" s="346">
        <f>IF(F115+SUM(E$99:E115)=D$92,F115,D$92-SUM(E$99:E115))</f>
        <v>201403</v>
      </c>
      <c r="E116" s="484">
        <f t="shared" si="17"/>
        <v>7878</v>
      </c>
      <c r="F116" s="485">
        <f t="shared" si="18"/>
        <v>193525</v>
      </c>
      <c r="G116" s="485">
        <f t="shared" si="19"/>
        <v>197464</v>
      </c>
      <c r="H116" s="613">
        <f t="shared" si="20"/>
        <v>29166.839842083173</v>
      </c>
      <c r="I116" s="614">
        <f t="shared" si="21"/>
        <v>29166.839842083173</v>
      </c>
      <c r="J116" s="478">
        <f t="shared" si="12"/>
        <v>0</v>
      </c>
      <c r="K116" s="478"/>
      <c r="L116" s="487"/>
      <c r="M116" s="478">
        <f t="shared" si="13"/>
        <v>0</v>
      </c>
      <c r="N116" s="487"/>
      <c r="O116" s="478">
        <f t="shared" si="14"/>
        <v>0</v>
      </c>
      <c r="P116" s="478">
        <f t="shared" si="15"/>
        <v>0</v>
      </c>
    </row>
    <row r="117" spans="2:16">
      <c r="B117" s="160" t="str">
        <f t="shared" si="16"/>
        <v/>
      </c>
      <c r="C117" s="472">
        <f>IF(D93="","-",+C116+1)</f>
        <v>2035</v>
      </c>
      <c r="D117" s="346">
        <f>IF(F116+SUM(E$99:E116)=D$92,F116,D$92-SUM(E$99:E116))</f>
        <v>193525</v>
      </c>
      <c r="E117" s="484">
        <f t="shared" si="17"/>
        <v>7878</v>
      </c>
      <c r="F117" s="485">
        <f t="shared" si="18"/>
        <v>185647</v>
      </c>
      <c r="G117" s="485">
        <f t="shared" si="19"/>
        <v>189586</v>
      </c>
      <c r="H117" s="613">
        <f t="shared" si="20"/>
        <v>28317.502847613643</v>
      </c>
      <c r="I117" s="614">
        <f t="shared" si="21"/>
        <v>28317.502847613643</v>
      </c>
      <c r="J117" s="478">
        <f t="shared" si="12"/>
        <v>0</v>
      </c>
      <c r="K117" s="478"/>
      <c r="L117" s="487"/>
      <c r="M117" s="478">
        <f t="shared" si="13"/>
        <v>0</v>
      </c>
      <c r="N117" s="487"/>
      <c r="O117" s="478">
        <f t="shared" si="14"/>
        <v>0</v>
      </c>
      <c r="P117" s="478">
        <f t="shared" si="15"/>
        <v>0</v>
      </c>
    </row>
    <row r="118" spans="2:16">
      <c r="B118" s="160" t="str">
        <f t="shared" si="16"/>
        <v/>
      </c>
      <c r="C118" s="472">
        <f>IF(D93="","-",+C117+1)</f>
        <v>2036</v>
      </c>
      <c r="D118" s="346">
        <f>IF(F117+SUM(E$99:E117)=D$92,F117,D$92-SUM(E$99:E117))</f>
        <v>185647</v>
      </c>
      <c r="E118" s="484">
        <f t="shared" si="17"/>
        <v>7878</v>
      </c>
      <c r="F118" s="485">
        <f t="shared" si="18"/>
        <v>177769</v>
      </c>
      <c r="G118" s="485">
        <f t="shared" si="19"/>
        <v>181708</v>
      </c>
      <c r="H118" s="613">
        <f t="shared" si="20"/>
        <v>27468.165853144113</v>
      </c>
      <c r="I118" s="614">
        <f t="shared" si="21"/>
        <v>27468.165853144113</v>
      </c>
      <c r="J118" s="478">
        <f t="shared" si="12"/>
        <v>0</v>
      </c>
      <c r="K118" s="478"/>
      <c r="L118" s="487"/>
      <c r="M118" s="478">
        <f t="shared" si="13"/>
        <v>0</v>
      </c>
      <c r="N118" s="487"/>
      <c r="O118" s="478">
        <f t="shared" si="14"/>
        <v>0</v>
      </c>
      <c r="P118" s="478">
        <f t="shared" si="15"/>
        <v>0</v>
      </c>
    </row>
    <row r="119" spans="2:16">
      <c r="B119" s="160" t="str">
        <f t="shared" si="16"/>
        <v/>
      </c>
      <c r="C119" s="472">
        <f>IF(D93="","-",+C118+1)</f>
        <v>2037</v>
      </c>
      <c r="D119" s="346">
        <f>IF(F118+SUM(E$99:E118)=D$92,F118,D$92-SUM(E$99:E118))</f>
        <v>177769</v>
      </c>
      <c r="E119" s="484">
        <f t="shared" si="17"/>
        <v>7878</v>
      </c>
      <c r="F119" s="485">
        <f t="shared" si="18"/>
        <v>169891</v>
      </c>
      <c r="G119" s="485">
        <f t="shared" si="19"/>
        <v>173830</v>
      </c>
      <c r="H119" s="613">
        <f t="shared" si="20"/>
        <v>26618.828858674584</v>
      </c>
      <c r="I119" s="614">
        <f t="shared" si="21"/>
        <v>26618.828858674584</v>
      </c>
      <c r="J119" s="478">
        <f t="shared" si="12"/>
        <v>0</v>
      </c>
      <c r="K119" s="478"/>
      <c r="L119" s="487"/>
      <c r="M119" s="478">
        <f t="shared" si="13"/>
        <v>0</v>
      </c>
      <c r="N119" s="487"/>
      <c r="O119" s="478">
        <f t="shared" si="14"/>
        <v>0</v>
      </c>
      <c r="P119" s="478">
        <f t="shared" si="15"/>
        <v>0</v>
      </c>
    </row>
    <row r="120" spans="2:16">
      <c r="B120" s="160" t="str">
        <f t="shared" si="16"/>
        <v/>
      </c>
      <c r="C120" s="472">
        <f>IF(D93="","-",+C119+1)</f>
        <v>2038</v>
      </c>
      <c r="D120" s="346">
        <f>IF(F119+SUM(E$99:E119)=D$92,F119,D$92-SUM(E$99:E119))</f>
        <v>169891</v>
      </c>
      <c r="E120" s="484">
        <f t="shared" si="17"/>
        <v>7878</v>
      </c>
      <c r="F120" s="485">
        <f t="shared" si="18"/>
        <v>162013</v>
      </c>
      <c r="G120" s="485">
        <f t="shared" si="19"/>
        <v>165952</v>
      </c>
      <c r="H120" s="613">
        <f t="shared" si="20"/>
        <v>25769.491864205054</v>
      </c>
      <c r="I120" s="614">
        <f t="shared" si="21"/>
        <v>25769.491864205054</v>
      </c>
      <c r="J120" s="478">
        <f t="shared" si="12"/>
        <v>0</v>
      </c>
      <c r="K120" s="478"/>
      <c r="L120" s="487"/>
      <c r="M120" s="478">
        <f t="shared" si="13"/>
        <v>0</v>
      </c>
      <c r="N120" s="487"/>
      <c r="O120" s="478">
        <f t="shared" si="14"/>
        <v>0</v>
      </c>
      <c r="P120" s="478">
        <f t="shared" si="15"/>
        <v>0</v>
      </c>
    </row>
    <row r="121" spans="2:16">
      <c r="B121" s="160" t="str">
        <f t="shared" si="16"/>
        <v/>
      </c>
      <c r="C121" s="472">
        <f>IF(D93="","-",+C120+1)</f>
        <v>2039</v>
      </c>
      <c r="D121" s="346">
        <f>IF(F120+SUM(E$99:E120)=D$92,F120,D$92-SUM(E$99:E120))</f>
        <v>162013</v>
      </c>
      <c r="E121" s="484">
        <f t="shared" si="17"/>
        <v>7878</v>
      </c>
      <c r="F121" s="485">
        <f t="shared" si="18"/>
        <v>154135</v>
      </c>
      <c r="G121" s="485">
        <f t="shared" si="19"/>
        <v>158074</v>
      </c>
      <c r="H121" s="613">
        <f t="shared" si="20"/>
        <v>24920.154869735525</v>
      </c>
      <c r="I121" s="614">
        <f t="shared" si="21"/>
        <v>24920.154869735525</v>
      </c>
      <c r="J121" s="478">
        <f t="shared" si="12"/>
        <v>0</v>
      </c>
      <c r="K121" s="478"/>
      <c r="L121" s="487"/>
      <c r="M121" s="478">
        <f t="shared" si="13"/>
        <v>0</v>
      </c>
      <c r="N121" s="487"/>
      <c r="O121" s="478">
        <f t="shared" si="14"/>
        <v>0</v>
      </c>
      <c r="P121" s="478">
        <f t="shared" si="15"/>
        <v>0</v>
      </c>
    </row>
    <row r="122" spans="2:16">
      <c r="B122" s="160" t="str">
        <f t="shared" si="16"/>
        <v/>
      </c>
      <c r="C122" s="472">
        <f>IF(D93="","-",+C121+1)</f>
        <v>2040</v>
      </c>
      <c r="D122" s="346">
        <f>IF(F121+SUM(E$99:E121)=D$92,F121,D$92-SUM(E$99:E121))</f>
        <v>154135</v>
      </c>
      <c r="E122" s="484">
        <f t="shared" si="17"/>
        <v>7878</v>
      </c>
      <c r="F122" s="485">
        <f t="shared" si="18"/>
        <v>146257</v>
      </c>
      <c r="G122" s="485">
        <f t="shared" si="19"/>
        <v>150196</v>
      </c>
      <c r="H122" s="613">
        <f t="shared" si="20"/>
        <v>24070.817875265995</v>
      </c>
      <c r="I122" s="614">
        <f t="shared" si="21"/>
        <v>24070.817875265995</v>
      </c>
      <c r="J122" s="478">
        <f t="shared" si="12"/>
        <v>0</v>
      </c>
      <c r="K122" s="478"/>
      <c r="L122" s="487"/>
      <c r="M122" s="478">
        <f t="shared" si="13"/>
        <v>0</v>
      </c>
      <c r="N122" s="487"/>
      <c r="O122" s="478">
        <f t="shared" si="14"/>
        <v>0</v>
      </c>
      <c r="P122" s="478">
        <f t="shared" si="15"/>
        <v>0</v>
      </c>
    </row>
    <row r="123" spans="2:16">
      <c r="B123" s="160" t="str">
        <f t="shared" si="16"/>
        <v/>
      </c>
      <c r="C123" s="472">
        <f>IF(D93="","-",+C122+1)</f>
        <v>2041</v>
      </c>
      <c r="D123" s="346">
        <f>IF(F122+SUM(E$99:E122)=D$92,F122,D$92-SUM(E$99:E122))</f>
        <v>146257</v>
      </c>
      <c r="E123" s="484">
        <f t="shared" si="17"/>
        <v>7878</v>
      </c>
      <c r="F123" s="485">
        <f t="shared" si="18"/>
        <v>138379</v>
      </c>
      <c r="G123" s="485">
        <f t="shared" si="19"/>
        <v>142318</v>
      </c>
      <c r="H123" s="613">
        <f t="shared" si="20"/>
        <v>23221.480880796465</v>
      </c>
      <c r="I123" s="614">
        <f t="shared" si="21"/>
        <v>23221.480880796465</v>
      </c>
      <c r="J123" s="478">
        <f t="shared" si="12"/>
        <v>0</v>
      </c>
      <c r="K123" s="478"/>
      <c r="L123" s="487"/>
      <c r="M123" s="478">
        <f t="shared" si="13"/>
        <v>0</v>
      </c>
      <c r="N123" s="487"/>
      <c r="O123" s="478">
        <f t="shared" si="14"/>
        <v>0</v>
      </c>
      <c r="P123" s="478">
        <f t="shared" si="15"/>
        <v>0</v>
      </c>
    </row>
    <row r="124" spans="2:16">
      <c r="B124" s="160" t="str">
        <f t="shared" si="16"/>
        <v/>
      </c>
      <c r="C124" s="472">
        <f>IF(D93="","-",+C123+1)</f>
        <v>2042</v>
      </c>
      <c r="D124" s="346">
        <f>IF(F123+SUM(E$99:E123)=D$92,F123,D$92-SUM(E$99:E123))</f>
        <v>138379</v>
      </c>
      <c r="E124" s="484">
        <f t="shared" si="17"/>
        <v>7878</v>
      </c>
      <c r="F124" s="485">
        <f t="shared" si="18"/>
        <v>130501</v>
      </c>
      <c r="G124" s="485">
        <f t="shared" si="19"/>
        <v>134440</v>
      </c>
      <c r="H124" s="613">
        <f t="shared" si="20"/>
        <v>22372.143886326936</v>
      </c>
      <c r="I124" s="614">
        <f t="shared" si="21"/>
        <v>22372.143886326936</v>
      </c>
      <c r="J124" s="478">
        <f t="shared" si="12"/>
        <v>0</v>
      </c>
      <c r="K124" s="478"/>
      <c r="L124" s="487"/>
      <c r="M124" s="478">
        <f t="shared" si="13"/>
        <v>0</v>
      </c>
      <c r="N124" s="487"/>
      <c r="O124" s="478">
        <f t="shared" si="14"/>
        <v>0</v>
      </c>
      <c r="P124" s="478">
        <f t="shared" si="15"/>
        <v>0</v>
      </c>
    </row>
    <row r="125" spans="2:16">
      <c r="B125" s="160" t="str">
        <f t="shared" si="16"/>
        <v/>
      </c>
      <c r="C125" s="472">
        <f>IF(D93="","-",+C124+1)</f>
        <v>2043</v>
      </c>
      <c r="D125" s="346">
        <f>IF(F124+SUM(E$99:E124)=D$92,F124,D$92-SUM(E$99:E124))</f>
        <v>130501</v>
      </c>
      <c r="E125" s="484">
        <f t="shared" si="17"/>
        <v>7878</v>
      </c>
      <c r="F125" s="485">
        <f t="shared" si="18"/>
        <v>122623</v>
      </c>
      <c r="G125" s="485">
        <f t="shared" si="19"/>
        <v>126562</v>
      </c>
      <c r="H125" s="613">
        <f t="shared" si="20"/>
        <v>21522.806891857406</v>
      </c>
      <c r="I125" s="614">
        <f t="shared" si="21"/>
        <v>21522.806891857406</v>
      </c>
      <c r="J125" s="478">
        <f t="shared" si="12"/>
        <v>0</v>
      </c>
      <c r="K125" s="478"/>
      <c r="L125" s="487"/>
      <c r="M125" s="478">
        <f t="shared" si="13"/>
        <v>0</v>
      </c>
      <c r="N125" s="487"/>
      <c r="O125" s="478">
        <f t="shared" si="14"/>
        <v>0</v>
      </c>
      <c r="P125" s="478">
        <f t="shared" si="15"/>
        <v>0</v>
      </c>
    </row>
    <row r="126" spans="2:16">
      <c r="B126" s="160" t="str">
        <f t="shared" si="16"/>
        <v/>
      </c>
      <c r="C126" s="472">
        <f>IF(D93="","-",+C125+1)</f>
        <v>2044</v>
      </c>
      <c r="D126" s="346">
        <f>IF(F125+SUM(E$99:E125)=D$92,F125,D$92-SUM(E$99:E125))</f>
        <v>122623</v>
      </c>
      <c r="E126" s="484">
        <f t="shared" si="17"/>
        <v>7878</v>
      </c>
      <c r="F126" s="485">
        <f t="shared" si="18"/>
        <v>114745</v>
      </c>
      <c r="G126" s="485">
        <f t="shared" si="19"/>
        <v>118684</v>
      </c>
      <c r="H126" s="613">
        <f t="shared" si="20"/>
        <v>20673.469897387877</v>
      </c>
      <c r="I126" s="614">
        <f t="shared" si="21"/>
        <v>20673.469897387877</v>
      </c>
      <c r="J126" s="478">
        <f t="shared" si="12"/>
        <v>0</v>
      </c>
      <c r="K126" s="478"/>
      <c r="L126" s="487"/>
      <c r="M126" s="478">
        <f t="shared" si="13"/>
        <v>0</v>
      </c>
      <c r="N126" s="487"/>
      <c r="O126" s="478">
        <f t="shared" si="14"/>
        <v>0</v>
      </c>
      <c r="P126" s="478">
        <f t="shared" si="15"/>
        <v>0</v>
      </c>
    </row>
    <row r="127" spans="2:16">
      <c r="B127" s="160" t="str">
        <f t="shared" si="16"/>
        <v/>
      </c>
      <c r="C127" s="472">
        <f>IF(D93="","-",+C126+1)</f>
        <v>2045</v>
      </c>
      <c r="D127" s="346">
        <f>IF(F126+SUM(E$99:E126)=D$92,F126,D$92-SUM(E$99:E126))</f>
        <v>114745</v>
      </c>
      <c r="E127" s="484">
        <f t="shared" si="17"/>
        <v>7878</v>
      </c>
      <c r="F127" s="485">
        <f t="shared" si="18"/>
        <v>106867</v>
      </c>
      <c r="G127" s="485">
        <f t="shared" si="19"/>
        <v>110806</v>
      </c>
      <c r="H127" s="613">
        <f t="shared" si="20"/>
        <v>19824.132902918347</v>
      </c>
      <c r="I127" s="614">
        <f t="shared" si="21"/>
        <v>19824.132902918347</v>
      </c>
      <c r="J127" s="478">
        <f t="shared" si="12"/>
        <v>0</v>
      </c>
      <c r="K127" s="478"/>
      <c r="L127" s="487"/>
      <c r="M127" s="478">
        <f t="shared" si="13"/>
        <v>0</v>
      </c>
      <c r="N127" s="487"/>
      <c r="O127" s="478">
        <f t="shared" si="14"/>
        <v>0</v>
      </c>
      <c r="P127" s="478">
        <f t="shared" si="15"/>
        <v>0</v>
      </c>
    </row>
    <row r="128" spans="2:16">
      <c r="B128" s="160" t="str">
        <f t="shared" si="16"/>
        <v/>
      </c>
      <c r="C128" s="472">
        <f>IF(D93="","-",+C127+1)</f>
        <v>2046</v>
      </c>
      <c r="D128" s="346">
        <f>IF(F127+SUM(E$99:E127)=D$92,F127,D$92-SUM(E$99:E127))</f>
        <v>106867</v>
      </c>
      <c r="E128" s="484">
        <f t="shared" si="17"/>
        <v>7878</v>
      </c>
      <c r="F128" s="485">
        <f t="shared" si="18"/>
        <v>98989</v>
      </c>
      <c r="G128" s="485">
        <f t="shared" si="19"/>
        <v>102928</v>
      </c>
      <c r="H128" s="613">
        <f t="shared" si="20"/>
        <v>18974.795908448817</v>
      </c>
      <c r="I128" s="614">
        <f t="shared" si="21"/>
        <v>18974.795908448817</v>
      </c>
      <c r="J128" s="478">
        <f t="shared" si="12"/>
        <v>0</v>
      </c>
      <c r="K128" s="478"/>
      <c r="L128" s="487"/>
      <c r="M128" s="478">
        <f t="shared" si="13"/>
        <v>0</v>
      </c>
      <c r="N128" s="487"/>
      <c r="O128" s="478">
        <f t="shared" si="14"/>
        <v>0</v>
      </c>
      <c r="P128" s="478">
        <f t="shared" si="15"/>
        <v>0</v>
      </c>
    </row>
    <row r="129" spans="2:16">
      <c r="B129" s="160" t="str">
        <f t="shared" si="16"/>
        <v/>
      </c>
      <c r="C129" s="472">
        <f>IF(D93="","-",+C128+1)</f>
        <v>2047</v>
      </c>
      <c r="D129" s="346">
        <f>IF(F128+SUM(E$99:E128)=D$92,F128,D$92-SUM(E$99:E128))</f>
        <v>98989</v>
      </c>
      <c r="E129" s="484">
        <f t="shared" si="17"/>
        <v>7878</v>
      </c>
      <c r="F129" s="485">
        <f t="shared" si="18"/>
        <v>91111</v>
      </c>
      <c r="G129" s="485">
        <f t="shared" si="19"/>
        <v>95050</v>
      </c>
      <c r="H129" s="613">
        <f t="shared" si="20"/>
        <v>18125.458913979288</v>
      </c>
      <c r="I129" s="614">
        <f t="shared" si="21"/>
        <v>18125.458913979288</v>
      </c>
      <c r="J129" s="478">
        <f t="shared" si="12"/>
        <v>0</v>
      </c>
      <c r="K129" s="478"/>
      <c r="L129" s="487"/>
      <c r="M129" s="478">
        <f t="shared" si="13"/>
        <v>0</v>
      </c>
      <c r="N129" s="487"/>
      <c r="O129" s="478">
        <f t="shared" si="14"/>
        <v>0</v>
      </c>
      <c r="P129" s="478">
        <f t="shared" si="15"/>
        <v>0</v>
      </c>
    </row>
    <row r="130" spans="2:16">
      <c r="B130" s="160" t="str">
        <f t="shared" si="16"/>
        <v/>
      </c>
      <c r="C130" s="472">
        <f>IF(D93="","-",+C129+1)</f>
        <v>2048</v>
      </c>
      <c r="D130" s="346">
        <f>IF(F129+SUM(E$99:E129)=D$92,F129,D$92-SUM(E$99:E129))</f>
        <v>91111</v>
      </c>
      <c r="E130" s="484">
        <f t="shared" si="17"/>
        <v>7878</v>
      </c>
      <c r="F130" s="485">
        <f t="shared" si="18"/>
        <v>83233</v>
      </c>
      <c r="G130" s="485">
        <f t="shared" si="19"/>
        <v>87172</v>
      </c>
      <c r="H130" s="613">
        <f t="shared" si="20"/>
        <v>17276.121919509758</v>
      </c>
      <c r="I130" s="614">
        <f t="shared" si="21"/>
        <v>17276.121919509758</v>
      </c>
      <c r="J130" s="478">
        <f t="shared" si="12"/>
        <v>0</v>
      </c>
      <c r="K130" s="478"/>
      <c r="L130" s="487"/>
      <c r="M130" s="478">
        <f t="shared" si="13"/>
        <v>0</v>
      </c>
      <c r="N130" s="487"/>
      <c r="O130" s="478">
        <f t="shared" si="14"/>
        <v>0</v>
      </c>
      <c r="P130" s="478">
        <f t="shared" si="15"/>
        <v>0</v>
      </c>
    </row>
    <row r="131" spans="2:16">
      <c r="B131" s="160" t="str">
        <f t="shared" si="16"/>
        <v/>
      </c>
      <c r="C131" s="472">
        <f>IF(D93="","-",+C130+1)</f>
        <v>2049</v>
      </c>
      <c r="D131" s="346">
        <f>IF(F130+SUM(E$99:E130)=D$92,F130,D$92-SUM(E$99:E130))</f>
        <v>83233</v>
      </c>
      <c r="E131" s="484">
        <f t="shared" si="17"/>
        <v>7878</v>
      </c>
      <c r="F131" s="485">
        <f t="shared" si="18"/>
        <v>75355</v>
      </c>
      <c r="G131" s="485">
        <f t="shared" si="19"/>
        <v>79294</v>
      </c>
      <c r="H131" s="613">
        <f t="shared" si="20"/>
        <v>16426.784925040225</v>
      </c>
      <c r="I131" s="614">
        <f t="shared" si="21"/>
        <v>16426.784925040225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6"/>
        <v/>
      </c>
      <c r="C132" s="472">
        <f>IF(D93="","-",+C131+1)</f>
        <v>2050</v>
      </c>
      <c r="D132" s="346">
        <f>IF(F131+SUM(E$99:E131)=D$92,F131,D$92-SUM(E$99:E131))</f>
        <v>75355</v>
      </c>
      <c r="E132" s="484">
        <f t="shared" si="17"/>
        <v>7878</v>
      </c>
      <c r="F132" s="485">
        <f t="shared" si="18"/>
        <v>67477</v>
      </c>
      <c r="G132" s="485">
        <f t="shared" si="19"/>
        <v>71416</v>
      </c>
      <c r="H132" s="613">
        <f t="shared" si="20"/>
        <v>15577.447930570695</v>
      </c>
      <c r="I132" s="614">
        <f t="shared" si="21"/>
        <v>15577.447930570695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6"/>
        <v/>
      </c>
      <c r="C133" s="472">
        <f>IF(D93="","-",+C132+1)</f>
        <v>2051</v>
      </c>
      <c r="D133" s="346">
        <f>IF(F132+SUM(E$99:E132)=D$92,F132,D$92-SUM(E$99:E132))</f>
        <v>67477</v>
      </c>
      <c r="E133" s="484">
        <f t="shared" si="17"/>
        <v>7878</v>
      </c>
      <c r="F133" s="485">
        <f t="shared" si="18"/>
        <v>59599</v>
      </c>
      <c r="G133" s="485">
        <f t="shared" si="19"/>
        <v>63538</v>
      </c>
      <c r="H133" s="613">
        <f t="shared" si="20"/>
        <v>14728.110936101166</v>
      </c>
      <c r="I133" s="614">
        <f t="shared" si="21"/>
        <v>14728.110936101166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6"/>
        <v/>
      </c>
      <c r="C134" s="472">
        <f>IF(D93="","-",+C133+1)</f>
        <v>2052</v>
      </c>
      <c r="D134" s="346">
        <f>IF(F133+SUM(E$99:E133)=D$92,F133,D$92-SUM(E$99:E133))</f>
        <v>59599</v>
      </c>
      <c r="E134" s="484">
        <f t="shared" si="17"/>
        <v>7878</v>
      </c>
      <c r="F134" s="485">
        <f t="shared" si="18"/>
        <v>51721</v>
      </c>
      <c r="G134" s="485">
        <f t="shared" si="19"/>
        <v>55660</v>
      </c>
      <c r="H134" s="613">
        <f t="shared" si="20"/>
        <v>13878.773941631636</v>
      </c>
      <c r="I134" s="614">
        <f t="shared" si="21"/>
        <v>13878.773941631636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6"/>
        <v/>
      </c>
      <c r="C135" s="472">
        <f>IF(D93="","-",+C134+1)</f>
        <v>2053</v>
      </c>
      <c r="D135" s="346">
        <f>IF(F134+SUM(E$99:E134)=D$92,F134,D$92-SUM(E$99:E134))</f>
        <v>51721</v>
      </c>
      <c r="E135" s="484">
        <f t="shared" si="17"/>
        <v>7878</v>
      </c>
      <c r="F135" s="485">
        <f t="shared" si="18"/>
        <v>43843</v>
      </c>
      <c r="G135" s="485">
        <f t="shared" si="19"/>
        <v>47782</v>
      </c>
      <c r="H135" s="613">
        <f t="shared" si="20"/>
        <v>13029.436947162107</v>
      </c>
      <c r="I135" s="614">
        <f t="shared" si="21"/>
        <v>13029.436947162107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6"/>
        <v/>
      </c>
      <c r="C136" s="472">
        <f>IF(D93="","-",+C135+1)</f>
        <v>2054</v>
      </c>
      <c r="D136" s="346">
        <f>IF(F135+SUM(E$99:E135)=D$92,F135,D$92-SUM(E$99:E135))</f>
        <v>43843</v>
      </c>
      <c r="E136" s="484">
        <f t="shared" si="17"/>
        <v>7878</v>
      </c>
      <c r="F136" s="485">
        <f t="shared" si="18"/>
        <v>35965</v>
      </c>
      <c r="G136" s="485">
        <f t="shared" si="19"/>
        <v>39904</v>
      </c>
      <c r="H136" s="613">
        <f t="shared" si="20"/>
        <v>12180.099952692577</v>
      </c>
      <c r="I136" s="614">
        <f t="shared" si="21"/>
        <v>12180.099952692577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6"/>
        <v/>
      </c>
      <c r="C137" s="472">
        <f>IF(D93="","-",+C136+1)</f>
        <v>2055</v>
      </c>
      <c r="D137" s="346">
        <f>IF(F136+SUM(E$99:E136)=D$92,F136,D$92-SUM(E$99:E136))</f>
        <v>35965</v>
      </c>
      <c r="E137" s="484">
        <f t="shared" si="17"/>
        <v>7878</v>
      </c>
      <c r="F137" s="485">
        <f t="shared" si="18"/>
        <v>28087</v>
      </c>
      <c r="G137" s="485">
        <f t="shared" si="19"/>
        <v>32026</v>
      </c>
      <c r="H137" s="613">
        <f t="shared" si="20"/>
        <v>11330.762958223047</v>
      </c>
      <c r="I137" s="614">
        <f t="shared" si="21"/>
        <v>11330.762958223047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6"/>
        <v/>
      </c>
      <c r="C138" s="472">
        <f>IF(D93="","-",+C137+1)</f>
        <v>2056</v>
      </c>
      <c r="D138" s="346">
        <f>IF(F137+SUM(E$99:E137)=D$92,F137,D$92-SUM(E$99:E137))</f>
        <v>28087</v>
      </c>
      <c r="E138" s="484">
        <f t="shared" si="17"/>
        <v>7878</v>
      </c>
      <c r="F138" s="485">
        <f t="shared" si="18"/>
        <v>20209</v>
      </c>
      <c r="G138" s="485">
        <f t="shared" si="19"/>
        <v>24148</v>
      </c>
      <c r="H138" s="613">
        <f t="shared" si="20"/>
        <v>10481.425963753518</v>
      </c>
      <c r="I138" s="614">
        <f t="shared" si="21"/>
        <v>10481.425963753518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6"/>
        <v/>
      </c>
      <c r="C139" s="472">
        <f>IF(D93="","-",+C138+1)</f>
        <v>2057</v>
      </c>
      <c r="D139" s="346">
        <f>IF(F138+SUM(E$99:E138)=D$92,F138,D$92-SUM(E$99:E138))</f>
        <v>20209</v>
      </c>
      <c r="E139" s="484">
        <f t="shared" si="17"/>
        <v>7878</v>
      </c>
      <c r="F139" s="485">
        <f t="shared" si="18"/>
        <v>12331</v>
      </c>
      <c r="G139" s="485">
        <f t="shared" si="19"/>
        <v>16270</v>
      </c>
      <c r="H139" s="613">
        <f t="shared" si="20"/>
        <v>9632.0889692839864</v>
      </c>
      <c r="I139" s="614">
        <f t="shared" si="21"/>
        <v>9632.0889692839864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6"/>
        <v/>
      </c>
      <c r="C140" s="472">
        <f>IF(D93="","-",+C139+1)</f>
        <v>2058</v>
      </c>
      <c r="D140" s="346">
        <f>IF(F139+SUM(E$99:E139)=D$92,F139,D$92-SUM(E$99:E139))</f>
        <v>12331</v>
      </c>
      <c r="E140" s="484">
        <f t="shared" si="17"/>
        <v>7878</v>
      </c>
      <c r="F140" s="485">
        <f t="shared" si="18"/>
        <v>4453</v>
      </c>
      <c r="G140" s="485">
        <f t="shared" si="19"/>
        <v>8392</v>
      </c>
      <c r="H140" s="613">
        <f t="shared" si="20"/>
        <v>8782.7519748144568</v>
      </c>
      <c r="I140" s="614">
        <f t="shared" si="21"/>
        <v>8782.7519748144568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6"/>
        <v/>
      </c>
      <c r="C141" s="472">
        <f>IF(D93="","-",+C140+1)</f>
        <v>2059</v>
      </c>
      <c r="D141" s="346">
        <f>IF(F140+SUM(E$99:E140)=D$92,F140,D$92-SUM(E$99:E140))</f>
        <v>4453</v>
      </c>
      <c r="E141" s="484">
        <f t="shared" si="17"/>
        <v>4453</v>
      </c>
      <c r="F141" s="485">
        <f t="shared" si="18"/>
        <v>0</v>
      </c>
      <c r="G141" s="485">
        <f t="shared" si="19"/>
        <v>2226.5</v>
      </c>
      <c r="H141" s="613">
        <f t="shared" si="20"/>
        <v>4693.041738789846</v>
      </c>
      <c r="I141" s="614">
        <f t="shared" si="21"/>
        <v>4693.041738789846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6"/>
        <v/>
      </c>
      <c r="C142" s="472">
        <f>IF(D93="","-",+C141+1)</f>
        <v>2060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20"/>
        <v>0</v>
      </c>
      <c r="I142" s="614">
        <f t="shared" si="21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6"/>
        <v/>
      </c>
      <c r="C143" s="472">
        <f>IF(D93="","-",+C142+1)</f>
        <v>2061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20"/>
        <v>0</v>
      </c>
      <c r="I143" s="614">
        <f t="shared" si="21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6"/>
        <v/>
      </c>
      <c r="C144" s="472">
        <f>IF(D93="","-",+C143+1)</f>
        <v>2062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20"/>
        <v>0</v>
      </c>
      <c r="I144" s="614">
        <f t="shared" si="21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6"/>
        <v/>
      </c>
      <c r="C145" s="472">
        <f>IF(D93="","-",+C144+1)</f>
        <v>2063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20"/>
        <v>0</v>
      </c>
      <c r="I145" s="614">
        <f t="shared" si="21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6"/>
        <v/>
      </c>
      <c r="C146" s="472">
        <f>IF(D93="","-",+C145+1)</f>
        <v>2064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20"/>
        <v>0</v>
      </c>
      <c r="I146" s="614">
        <f t="shared" si="21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6"/>
        <v/>
      </c>
      <c r="C147" s="472">
        <f>IF(D93="","-",+C146+1)</f>
        <v>2065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20"/>
        <v>0</v>
      </c>
      <c r="I147" s="614">
        <f t="shared" si="21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6"/>
        <v/>
      </c>
      <c r="C148" s="472">
        <f>IF(D93="","-",+C147+1)</f>
        <v>2066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20"/>
        <v>0</v>
      </c>
      <c r="I148" s="614">
        <f t="shared" si="21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6"/>
        <v/>
      </c>
      <c r="C149" s="472">
        <f>IF(D93="","-",+C148+1)</f>
        <v>2067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20"/>
        <v>0</v>
      </c>
      <c r="I149" s="614">
        <f t="shared" si="21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6"/>
        <v/>
      </c>
      <c r="C150" s="472">
        <f>IF(D93="","-",+C149+1)</f>
        <v>2068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20"/>
        <v>0</v>
      </c>
      <c r="I150" s="614">
        <f t="shared" si="21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6"/>
        <v/>
      </c>
      <c r="C151" s="472">
        <f>IF(D93="","-",+C150+1)</f>
        <v>2069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20"/>
        <v>0</v>
      </c>
      <c r="I151" s="614">
        <f t="shared" si="21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6"/>
        <v/>
      </c>
      <c r="C152" s="472">
        <f>IF(D93="","-",+C151+1)</f>
        <v>2070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20"/>
        <v>0</v>
      </c>
      <c r="I152" s="614">
        <f t="shared" si="21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6"/>
        <v/>
      </c>
      <c r="C153" s="472">
        <f>IF(D93="","-",+C152+1)</f>
        <v>2071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20"/>
        <v>0</v>
      </c>
      <c r="I153" s="614">
        <f t="shared" si="21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6"/>
        <v/>
      </c>
      <c r="C154" s="489">
        <f>IF(D93="","-",+C153+1)</f>
        <v>2072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20"/>
        <v>0</v>
      </c>
      <c r="I154" s="616">
        <f t="shared" si="21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6" t="s">
        <v>77</v>
      </c>
      <c r="D155" s="347"/>
      <c r="E155" s="347">
        <f>SUM(E99:E154)</f>
        <v>330872</v>
      </c>
      <c r="F155" s="347"/>
      <c r="G155" s="347"/>
      <c r="H155" s="347">
        <f>SUM(H99:H154)</f>
        <v>1084564.2952665889</v>
      </c>
      <c r="I155" s="347">
        <f>SUM(I99:I154)</f>
        <v>1084564.2952665889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3" priority="1" stopIfTrue="1" operator="equal">
      <formula>$I$10</formula>
    </cfRule>
  </conditionalFormatting>
  <conditionalFormatting sqref="C99:C154">
    <cfRule type="cellIs" dxfId="22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P162"/>
  <sheetViews>
    <sheetView view="pageBreakPreview" zoomScale="78" zoomScaleNormal="100" zoomScaleSheetLayoutView="78" workbookViewId="0">
      <selection activeCell="D17" sqref="D1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22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29614.266782481478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29614.266782481478</v>
      </c>
      <c r="O6" s="232"/>
      <c r="P6" s="232"/>
    </row>
    <row r="7" spans="1:16" ht="13.5" thickBot="1">
      <c r="C7" s="431" t="s">
        <v>46</v>
      </c>
      <c r="D7" s="599" t="s">
        <v>280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301</v>
      </c>
      <c r="E9" s="577" t="s">
        <v>302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244000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5809.5238095238092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2018</v>
      </c>
      <c r="D17" s="584">
        <v>0</v>
      </c>
      <c r="E17" s="608">
        <v>2711.1111111111113</v>
      </c>
      <c r="F17" s="584">
        <v>241288.88888888888</v>
      </c>
      <c r="G17" s="608">
        <v>17159.361980055266</v>
      </c>
      <c r="H17" s="587">
        <v>17159.361980055266</v>
      </c>
      <c r="I17" s="475">
        <f t="shared" ref="I17:I72" si="0">H17-G17</f>
        <v>0</v>
      </c>
      <c r="J17" s="475"/>
      <c r="K17" s="554">
        <f>+G17</f>
        <v>17159.361980055266</v>
      </c>
      <c r="L17" s="477">
        <f t="shared" ref="L17:L72" si="1">IF(K17&lt;&gt;0,+G17-K17,0)</f>
        <v>0</v>
      </c>
      <c r="M17" s="554">
        <f>+H17</f>
        <v>17159.361980055266</v>
      </c>
      <c r="N17" s="477">
        <f t="shared" ref="N17:N72" si="2">IF(M17&lt;&gt;0,+H17-M17,0)</f>
        <v>0</v>
      </c>
      <c r="O17" s="478">
        <f t="shared" ref="O17:O72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2019</v>
      </c>
      <c r="D18" s="584">
        <v>241288.88888888888</v>
      </c>
      <c r="E18" s="585">
        <v>6100</v>
      </c>
      <c r="F18" s="584">
        <v>235188.88888888888</v>
      </c>
      <c r="G18" s="585">
        <v>32700.951777404996</v>
      </c>
      <c r="H18" s="587">
        <v>32700.951777404996</v>
      </c>
      <c r="I18" s="475">
        <f t="shared" si="0"/>
        <v>0</v>
      </c>
      <c r="J18" s="475"/>
      <c r="K18" s="478">
        <f>+G18</f>
        <v>32700.951777404996</v>
      </c>
      <c r="L18" s="478">
        <f t="shared" si="1"/>
        <v>0</v>
      </c>
      <c r="M18" s="478">
        <f>+H18</f>
        <v>32700.951777404996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2020</v>
      </c>
      <c r="D19" s="584">
        <v>235866.66666666666</v>
      </c>
      <c r="E19" s="585">
        <v>5809.5238095238092</v>
      </c>
      <c r="F19" s="584">
        <v>230057.14285714284</v>
      </c>
      <c r="G19" s="585">
        <v>30970.52236185109</v>
      </c>
      <c r="H19" s="587">
        <v>30970.52236185109</v>
      </c>
      <c r="I19" s="475">
        <f t="shared" si="0"/>
        <v>0</v>
      </c>
      <c r="J19" s="475"/>
      <c r="K19" s="478">
        <f>+G19</f>
        <v>30970.52236185109</v>
      </c>
      <c r="L19" s="478">
        <f t="shared" ref="L19" si="4">IF(K19&lt;&gt;0,+G19-K19,0)</f>
        <v>0</v>
      </c>
      <c r="M19" s="478">
        <f>+H19</f>
        <v>30970.52236185109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229379.36507936509</v>
      </c>
      <c r="E20" s="585">
        <v>5674.4186046511632</v>
      </c>
      <c r="F20" s="584">
        <v>223704.94647471391</v>
      </c>
      <c r="G20" s="585">
        <v>30100.568065113996</v>
      </c>
      <c r="H20" s="587">
        <v>30100.568065113996</v>
      </c>
      <c r="I20" s="475">
        <f t="shared" si="0"/>
        <v>0</v>
      </c>
      <c r="J20" s="475"/>
      <c r="K20" s="478">
        <f>+G20</f>
        <v>30100.568065113996</v>
      </c>
      <c r="L20" s="478">
        <f t="shared" ref="L20" si="6">IF(K20&lt;&gt;0,+G20-K20,0)</f>
        <v>0</v>
      </c>
      <c r="M20" s="478">
        <f>+H20</f>
        <v>30100.568065113996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223704.94647471391</v>
      </c>
      <c r="E21" s="484">
        <f t="shared" ref="E21:E72" si="7">IF(+I$14&lt;F20,I$14,D21)</f>
        <v>5809.5238095238092</v>
      </c>
      <c r="F21" s="485">
        <f t="shared" ref="F21:F72" si="8">+D21-E21</f>
        <v>217895.4226651901</v>
      </c>
      <c r="G21" s="486">
        <f t="shared" ref="G21:G72" si="9">(D21+F21)/2*I$12+E21</f>
        <v>29614.266782481478</v>
      </c>
      <c r="H21" s="455">
        <f t="shared" ref="H21:H72" si="10">+(D21+F21)/2*I$13+E21</f>
        <v>29614.266782481478</v>
      </c>
      <c r="I21" s="475">
        <f t="shared" si="0"/>
        <v>0</v>
      </c>
      <c r="J21" s="475"/>
      <c r="K21" s="487"/>
      <c r="L21" s="478">
        <f t="shared" si="1"/>
        <v>0</v>
      </c>
      <c r="M21" s="487"/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217895.4226651901</v>
      </c>
      <c r="E22" s="484">
        <f t="shared" si="7"/>
        <v>5809.5238095238092</v>
      </c>
      <c r="F22" s="485">
        <f t="shared" si="8"/>
        <v>212085.89885566628</v>
      </c>
      <c r="G22" s="486">
        <f t="shared" si="9"/>
        <v>28987.934783029821</v>
      </c>
      <c r="H22" s="455">
        <f t="shared" si="10"/>
        <v>28987.934783029821</v>
      </c>
      <c r="I22" s="475">
        <f t="shared" si="0"/>
        <v>0</v>
      </c>
      <c r="J22" s="475"/>
      <c r="K22" s="487"/>
      <c r="L22" s="478">
        <f t="shared" si="1"/>
        <v>0</v>
      </c>
      <c r="M22" s="487"/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212085.89885566628</v>
      </c>
      <c r="E23" s="484">
        <f t="shared" si="7"/>
        <v>5809.5238095238092</v>
      </c>
      <c r="F23" s="485">
        <f t="shared" si="8"/>
        <v>206276.37504614246</v>
      </c>
      <c r="G23" s="486">
        <f t="shared" si="9"/>
        <v>28361.602783578168</v>
      </c>
      <c r="H23" s="455">
        <f t="shared" si="10"/>
        <v>28361.602783578168</v>
      </c>
      <c r="I23" s="475">
        <f t="shared" si="0"/>
        <v>0</v>
      </c>
      <c r="J23" s="475"/>
      <c r="K23" s="487"/>
      <c r="L23" s="478">
        <f t="shared" si="1"/>
        <v>0</v>
      </c>
      <c r="M23" s="487"/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206276.37504614246</v>
      </c>
      <c r="E24" s="484">
        <f t="shared" si="7"/>
        <v>5809.5238095238092</v>
      </c>
      <c r="F24" s="485">
        <f t="shared" si="8"/>
        <v>200466.85123661865</v>
      </c>
      <c r="G24" s="486">
        <f t="shared" si="9"/>
        <v>27735.270784126511</v>
      </c>
      <c r="H24" s="455">
        <f t="shared" si="10"/>
        <v>27735.270784126511</v>
      </c>
      <c r="I24" s="475">
        <f t="shared" si="0"/>
        <v>0</v>
      </c>
      <c r="J24" s="475"/>
      <c r="K24" s="487"/>
      <c r="L24" s="478">
        <f t="shared" si="1"/>
        <v>0</v>
      </c>
      <c r="M24" s="487"/>
      <c r="N24" s="478">
        <f t="shared" si="2"/>
        <v>0</v>
      </c>
      <c r="O24" s="478">
        <f t="shared" si="3"/>
        <v>0</v>
      </c>
      <c r="P24" s="242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200466.85123661865</v>
      </c>
      <c r="E25" s="484">
        <f t="shared" si="7"/>
        <v>5809.5238095238092</v>
      </c>
      <c r="F25" s="485">
        <f t="shared" si="8"/>
        <v>194657.32742709483</v>
      </c>
      <c r="G25" s="486">
        <f t="shared" si="9"/>
        <v>27108.938784674861</v>
      </c>
      <c r="H25" s="455">
        <f t="shared" si="10"/>
        <v>27108.938784674861</v>
      </c>
      <c r="I25" s="475">
        <f t="shared" si="0"/>
        <v>0</v>
      </c>
      <c r="J25" s="475"/>
      <c r="K25" s="487"/>
      <c r="L25" s="478">
        <f t="shared" si="1"/>
        <v>0</v>
      </c>
      <c r="M25" s="487"/>
      <c r="N25" s="478">
        <f t="shared" si="2"/>
        <v>0</v>
      </c>
      <c r="O25" s="478">
        <f t="shared" si="3"/>
        <v>0</v>
      </c>
      <c r="P25" s="242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194657.32742709483</v>
      </c>
      <c r="E26" s="484">
        <f t="shared" si="7"/>
        <v>5809.5238095238092</v>
      </c>
      <c r="F26" s="485">
        <f t="shared" si="8"/>
        <v>188847.80361757101</v>
      </c>
      <c r="G26" s="486">
        <f t="shared" si="9"/>
        <v>26482.606785223204</v>
      </c>
      <c r="H26" s="455">
        <f t="shared" si="10"/>
        <v>26482.606785223204</v>
      </c>
      <c r="I26" s="475">
        <f t="shared" si="0"/>
        <v>0</v>
      </c>
      <c r="J26" s="475"/>
      <c r="K26" s="487"/>
      <c r="L26" s="478">
        <f t="shared" si="1"/>
        <v>0</v>
      </c>
      <c r="M26" s="487"/>
      <c r="N26" s="478">
        <f t="shared" si="2"/>
        <v>0</v>
      </c>
      <c r="O26" s="478">
        <f t="shared" si="3"/>
        <v>0</v>
      </c>
      <c r="P26" s="242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188847.80361757101</v>
      </c>
      <c r="E27" s="484">
        <f t="shared" si="7"/>
        <v>5809.5238095238092</v>
      </c>
      <c r="F27" s="485">
        <f t="shared" si="8"/>
        <v>183038.2798080472</v>
      </c>
      <c r="G27" s="486">
        <f t="shared" si="9"/>
        <v>25856.274785771551</v>
      </c>
      <c r="H27" s="455">
        <f t="shared" si="10"/>
        <v>25856.274785771551</v>
      </c>
      <c r="I27" s="475">
        <f t="shared" si="0"/>
        <v>0</v>
      </c>
      <c r="J27" s="475"/>
      <c r="K27" s="487"/>
      <c r="L27" s="478">
        <f t="shared" si="1"/>
        <v>0</v>
      </c>
      <c r="M27" s="487"/>
      <c r="N27" s="478">
        <f t="shared" si="2"/>
        <v>0</v>
      </c>
      <c r="O27" s="478">
        <f t="shared" si="3"/>
        <v>0</v>
      </c>
      <c r="P27" s="242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183038.2798080472</v>
      </c>
      <c r="E28" s="484">
        <f t="shared" si="7"/>
        <v>5809.5238095238092</v>
      </c>
      <c r="F28" s="485">
        <f t="shared" si="8"/>
        <v>177228.75599852338</v>
      </c>
      <c r="G28" s="486">
        <f t="shared" si="9"/>
        <v>25229.942786319894</v>
      </c>
      <c r="H28" s="455">
        <f t="shared" si="10"/>
        <v>25229.942786319894</v>
      </c>
      <c r="I28" s="475">
        <f t="shared" si="0"/>
        <v>0</v>
      </c>
      <c r="J28" s="475"/>
      <c r="K28" s="487"/>
      <c r="L28" s="478">
        <f t="shared" si="1"/>
        <v>0</v>
      </c>
      <c r="M28" s="487"/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177228.75599852338</v>
      </c>
      <c r="E29" s="484">
        <f t="shared" si="7"/>
        <v>5809.5238095238092</v>
      </c>
      <c r="F29" s="485">
        <f t="shared" si="8"/>
        <v>171419.23218899957</v>
      </c>
      <c r="G29" s="486">
        <f t="shared" si="9"/>
        <v>24603.610786868245</v>
      </c>
      <c r="H29" s="455">
        <f t="shared" si="10"/>
        <v>24603.610786868245</v>
      </c>
      <c r="I29" s="475">
        <f t="shared" si="0"/>
        <v>0</v>
      </c>
      <c r="J29" s="475"/>
      <c r="K29" s="487"/>
      <c r="L29" s="478">
        <f t="shared" si="1"/>
        <v>0</v>
      </c>
      <c r="M29" s="487"/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171419.23218899957</v>
      </c>
      <c r="E30" s="484">
        <f t="shared" si="7"/>
        <v>5809.5238095238092</v>
      </c>
      <c r="F30" s="485">
        <f t="shared" si="8"/>
        <v>165609.70837947575</v>
      </c>
      <c r="G30" s="486">
        <f t="shared" si="9"/>
        <v>23977.278787416588</v>
      </c>
      <c r="H30" s="455">
        <f t="shared" si="10"/>
        <v>23977.278787416588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165609.70837947575</v>
      </c>
      <c r="E31" s="484">
        <f t="shared" si="7"/>
        <v>5809.5238095238092</v>
      </c>
      <c r="F31" s="485">
        <f t="shared" si="8"/>
        <v>159800.18456995193</v>
      </c>
      <c r="G31" s="486">
        <f t="shared" si="9"/>
        <v>23350.946787964935</v>
      </c>
      <c r="H31" s="455">
        <f t="shared" si="10"/>
        <v>23350.946787964935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159800.18456995193</v>
      </c>
      <c r="E32" s="484">
        <f t="shared" si="7"/>
        <v>5809.5238095238092</v>
      </c>
      <c r="F32" s="485">
        <f t="shared" si="8"/>
        <v>153990.66076042812</v>
      </c>
      <c r="G32" s="486">
        <f t="shared" si="9"/>
        <v>22724.614788513278</v>
      </c>
      <c r="H32" s="455">
        <f t="shared" si="10"/>
        <v>22724.614788513278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153990.66076042812</v>
      </c>
      <c r="E33" s="484">
        <f t="shared" si="7"/>
        <v>5809.5238095238092</v>
      </c>
      <c r="F33" s="485">
        <f t="shared" si="8"/>
        <v>148181.1369509043</v>
      </c>
      <c r="G33" s="486">
        <f t="shared" si="9"/>
        <v>22098.282789061624</v>
      </c>
      <c r="H33" s="455">
        <f t="shared" si="10"/>
        <v>22098.282789061624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148181.1369509043</v>
      </c>
      <c r="E34" s="484">
        <f t="shared" si="7"/>
        <v>5809.5238095238092</v>
      </c>
      <c r="F34" s="485">
        <f t="shared" si="8"/>
        <v>142371.61314138048</v>
      </c>
      <c r="G34" s="486">
        <f t="shared" si="9"/>
        <v>21471.950789609968</v>
      </c>
      <c r="H34" s="455">
        <f t="shared" si="10"/>
        <v>21471.950789609968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142371.61314138048</v>
      </c>
      <c r="E35" s="484">
        <f t="shared" si="7"/>
        <v>5809.5238095238092</v>
      </c>
      <c r="F35" s="485">
        <f t="shared" si="8"/>
        <v>136562.08933185667</v>
      </c>
      <c r="G35" s="486">
        <f t="shared" si="9"/>
        <v>20845.618790158318</v>
      </c>
      <c r="H35" s="455">
        <f t="shared" si="10"/>
        <v>20845.618790158318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136562.08933185667</v>
      </c>
      <c r="E36" s="484">
        <f t="shared" si="7"/>
        <v>5809.5238095238092</v>
      </c>
      <c r="F36" s="485">
        <f t="shared" si="8"/>
        <v>130752.56552233285</v>
      </c>
      <c r="G36" s="486">
        <f t="shared" si="9"/>
        <v>20219.286790706661</v>
      </c>
      <c r="H36" s="455">
        <f t="shared" si="10"/>
        <v>20219.286790706661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130752.56552233285</v>
      </c>
      <c r="E37" s="484">
        <f t="shared" si="7"/>
        <v>5809.5238095238092</v>
      </c>
      <c r="F37" s="485">
        <f t="shared" si="8"/>
        <v>124943.04171280903</v>
      </c>
      <c r="G37" s="486">
        <f t="shared" si="9"/>
        <v>19592.954791255008</v>
      </c>
      <c r="H37" s="455">
        <f t="shared" si="10"/>
        <v>19592.954791255008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124943.04171280903</v>
      </c>
      <c r="E38" s="484">
        <f t="shared" si="7"/>
        <v>5809.5238095238092</v>
      </c>
      <c r="F38" s="485">
        <f t="shared" si="8"/>
        <v>119133.51790328522</v>
      </c>
      <c r="G38" s="486">
        <f t="shared" si="9"/>
        <v>18966.622791803355</v>
      </c>
      <c r="H38" s="455">
        <f t="shared" si="10"/>
        <v>18966.622791803355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119133.51790328522</v>
      </c>
      <c r="E39" s="484">
        <f t="shared" si="7"/>
        <v>5809.5238095238092</v>
      </c>
      <c r="F39" s="485">
        <f t="shared" si="8"/>
        <v>113323.9940937614</v>
      </c>
      <c r="G39" s="486">
        <f t="shared" si="9"/>
        <v>18340.290792351698</v>
      </c>
      <c r="H39" s="455">
        <f t="shared" si="10"/>
        <v>18340.290792351698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113323.9940937614</v>
      </c>
      <c r="E40" s="484">
        <f t="shared" si="7"/>
        <v>5809.5238095238092</v>
      </c>
      <c r="F40" s="485">
        <f t="shared" si="8"/>
        <v>107514.47028423758</v>
      </c>
      <c r="G40" s="486">
        <f t="shared" si="9"/>
        <v>17713.958792900048</v>
      </c>
      <c r="H40" s="455">
        <f t="shared" si="10"/>
        <v>17713.958792900048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107514.47028423758</v>
      </c>
      <c r="E41" s="484">
        <f t="shared" si="7"/>
        <v>5809.5238095238092</v>
      </c>
      <c r="F41" s="485">
        <f t="shared" si="8"/>
        <v>101704.94647471377</v>
      </c>
      <c r="G41" s="486">
        <f t="shared" si="9"/>
        <v>17087.626793448391</v>
      </c>
      <c r="H41" s="455">
        <f t="shared" si="10"/>
        <v>17087.626793448391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101704.94647471377</v>
      </c>
      <c r="E42" s="484">
        <f t="shared" si="7"/>
        <v>5809.5238095238092</v>
      </c>
      <c r="F42" s="485">
        <f t="shared" si="8"/>
        <v>95895.422665189952</v>
      </c>
      <c r="G42" s="486">
        <f t="shared" si="9"/>
        <v>16461.294793996738</v>
      </c>
      <c r="H42" s="455">
        <f t="shared" si="10"/>
        <v>16461.294793996738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95895.422665189952</v>
      </c>
      <c r="E43" s="484">
        <f t="shared" si="7"/>
        <v>5809.5238095238092</v>
      </c>
      <c r="F43" s="485">
        <f t="shared" si="8"/>
        <v>90085.898855666135</v>
      </c>
      <c r="G43" s="486">
        <f t="shared" si="9"/>
        <v>15834.962794545083</v>
      </c>
      <c r="H43" s="455">
        <f t="shared" si="10"/>
        <v>15834.962794545083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90085.898855666135</v>
      </c>
      <c r="E44" s="484">
        <f t="shared" si="7"/>
        <v>5809.5238095238092</v>
      </c>
      <c r="F44" s="485">
        <f t="shared" si="8"/>
        <v>84276.375046142319</v>
      </c>
      <c r="G44" s="486">
        <f t="shared" si="9"/>
        <v>15208.63079509343</v>
      </c>
      <c r="H44" s="455">
        <f t="shared" si="10"/>
        <v>15208.63079509343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84276.375046142319</v>
      </c>
      <c r="E45" s="484">
        <f t="shared" si="7"/>
        <v>5809.5238095238092</v>
      </c>
      <c r="F45" s="485">
        <f t="shared" si="8"/>
        <v>78466.851236618502</v>
      </c>
      <c r="G45" s="486">
        <f t="shared" si="9"/>
        <v>14582.298795641775</v>
      </c>
      <c r="H45" s="455">
        <f t="shared" si="10"/>
        <v>14582.298795641775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78466.851236618502</v>
      </c>
      <c r="E46" s="484">
        <f t="shared" si="7"/>
        <v>5809.5238095238092</v>
      </c>
      <c r="F46" s="485">
        <f t="shared" si="8"/>
        <v>72657.327427094686</v>
      </c>
      <c r="G46" s="486">
        <f t="shared" si="9"/>
        <v>13955.966796190121</v>
      </c>
      <c r="H46" s="455">
        <f t="shared" si="10"/>
        <v>13955.966796190121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72657.327427094686</v>
      </c>
      <c r="E47" s="484">
        <f t="shared" si="7"/>
        <v>5809.5238095238092</v>
      </c>
      <c r="F47" s="485">
        <f t="shared" si="8"/>
        <v>66847.803617570869</v>
      </c>
      <c r="G47" s="486">
        <f t="shared" si="9"/>
        <v>13329.634796738466</v>
      </c>
      <c r="H47" s="455">
        <f t="shared" si="10"/>
        <v>13329.634796738466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66847.803617570869</v>
      </c>
      <c r="E48" s="484">
        <f t="shared" si="7"/>
        <v>5809.5238095238092</v>
      </c>
      <c r="F48" s="485">
        <f t="shared" si="8"/>
        <v>61038.27980804706</v>
      </c>
      <c r="G48" s="486">
        <f t="shared" si="9"/>
        <v>12703.302797286811</v>
      </c>
      <c r="H48" s="455">
        <f t="shared" si="10"/>
        <v>12703.302797286811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61038.27980804706</v>
      </c>
      <c r="E49" s="484">
        <f t="shared" si="7"/>
        <v>5809.5238095238092</v>
      </c>
      <c r="F49" s="485">
        <f t="shared" si="8"/>
        <v>55228.755998523251</v>
      </c>
      <c r="G49" s="486">
        <f t="shared" si="9"/>
        <v>12076.97079783516</v>
      </c>
      <c r="H49" s="455">
        <f t="shared" si="10"/>
        <v>12076.97079783516</v>
      </c>
      <c r="I49" s="475">
        <f t="shared" si="0"/>
        <v>0</v>
      </c>
      <c r="J49" s="475"/>
      <c r="K49" s="487"/>
      <c r="L49" s="478">
        <f t="shared" si="1"/>
        <v>0</v>
      </c>
      <c r="M49" s="487"/>
      <c r="N49" s="478">
        <f t="shared" si="2"/>
        <v>0</v>
      </c>
      <c r="O49" s="478">
        <f t="shared" si="3"/>
        <v>0</v>
      </c>
      <c r="P49" s="242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55228.755998523251</v>
      </c>
      <c r="E50" s="484">
        <f t="shared" si="7"/>
        <v>5809.5238095238092</v>
      </c>
      <c r="F50" s="485">
        <f t="shared" si="8"/>
        <v>49419.232188999442</v>
      </c>
      <c r="G50" s="486">
        <f t="shared" si="9"/>
        <v>11450.638798383505</v>
      </c>
      <c r="H50" s="455">
        <f t="shared" si="10"/>
        <v>11450.638798383505</v>
      </c>
      <c r="I50" s="475">
        <f t="shared" si="0"/>
        <v>0</v>
      </c>
      <c r="J50" s="475"/>
      <c r="K50" s="487"/>
      <c r="L50" s="478">
        <f t="shared" si="1"/>
        <v>0</v>
      </c>
      <c r="M50" s="487"/>
      <c r="N50" s="478">
        <f t="shared" si="2"/>
        <v>0</v>
      </c>
      <c r="O50" s="478">
        <f t="shared" si="3"/>
        <v>0</v>
      </c>
      <c r="P50" s="242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49419.232188999442</v>
      </c>
      <c r="E51" s="484">
        <f t="shared" si="7"/>
        <v>5809.5238095238092</v>
      </c>
      <c r="F51" s="485">
        <f t="shared" si="8"/>
        <v>43609.708379475633</v>
      </c>
      <c r="G51" s="486">
        <f t="shared" si="9"/>
        <v>10824.306798931853</v>
      </c>
      <c r="H51" s="455">
        <f t="shared" si="10"/>
        <v>10824.306798931853</v>
      </c>
      <c r="I51" s="475">
        <f t="shared" si="0"/>
        <v>0</v>
      </c>
      <c r="J51" s="475"/>
      <c r="K51" s="487"/>
      <c r="L51" s="478">
        <f t="shared" si="1"/>
        <v>0</v>
      </c>
      <c r="M51" s="487"/>
      <c r="N51" s="478">
        <f t="shared" si="2"/>
        <v>0</v>
      </c>
      <c r="O51" s="478">
        <f t="shared" si="3"/>
        <v>0</v>
      </c>
      <c r="P51" s="242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43609.708379475633</v>
      </c>
      <c r="E52" s="484">
        <f t="shared" si="7"/>
        <v>5809.5238095238092</v>
      </c>
      <c r="F52" s="485">
        <f t="shared" si="8"/>
        <v>37800.184569951824</v>
      </c>
      <c r="G52" s="486">
        <f t="shared" si="9"/>
        <v>10197.974799480198</v>
      </c>
      <c r="H52" s="455">
        <f t="shared" si="10"/>
        <v>10197.974799480198</v>
      </c>
      <c r="I52" s="475">
        <f t="shared" si="0"/>
        <v>0</v>
      </c>
      <c r="J52" s="475"/>
      <c r="K52" s="487"/>
      <c r="L52" s="478">
        <f t="shared" si="1"/>
        <v>0</v>
      </c>
      <c r="M52" s="487"/>
      <c r="N52" s="478">
        <f t="shared" si="2"/>
        <v>0</v>
      </c>
      <c r="O52" s="478">
        <f t="shared" si="3"/>
        <v>0</v>
      </c>
      <c r="P52" s="242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37800.184569951824</v>
      </c>
      <c r="E53" s="484">
        <f t="shared" si="7"/>
        <v>5809.5238095238092</v>
      </c>
      <c r="F53" s="485">
        <f t="shared" si="8"/>
        <v>31990.660760428014</v>
      </c>
      <c r="G53" s="486">
        <f t="shared" si="9"/>
        <v>9571.6428000285468</v>
      </c>
      <c r="H53" s="455">
        <f t="shared" si="10"/>
        <v>9571.6428000285468</v>
      </c>
      <c r="I53" s="475">
        <f t="shared" si="0"/>
        <v>0</v>
      </c>
      <c r="J53" s="475"/>
      <c r="K53" s="487"/>
      <c r="L53" s="478">
        <f t="shared" si="1"/>
        <v>0</v>
      </c>
      <c r="M53" s="487"/>
      <c r="N53" s="478">
        <f t="shared" si="2"/>
        <v>0</v>
      </c>
      <c r="O53" s="478">
        <f t="shared" si="3"/>
        <v>0</v>
      </c>
      <c r="P53" s="242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31990.660760428014</v>
      </c>
      <c r="E54" s="484">
        <f t="shared" si="7"/>
        <v>5809.5238095238092</v>
      </c>
      <c r="F54" s="485">
        <f t="shared" si="8"/>
        <v>26181.136950904205</v>
      </c>
      <c r="G54" s="486">
        <f t="shared" si="9"/>
        <v>8945.3108005768918</v>
      </c>
      <c r="H54" s="455">
        <f t="shared" si="10"/>
        <v>8945.3108005768918</v>
      </c>
      <c r="I54" s="475">
        <f t="shared" si="0"/>
        <v>0</v>
      </c>
      <c r="J54" s="475"/>
      <c r="K54" s="487"/>
      <c r="L54" s="478">
        <f t="shared" si="1"/>
        <v>0</v>
      </c>
      <c r="M54" s="487"/>
      <c r="N54" s="478">
        <f t="shared" si="2"/>
        <v>0</v>
      </c>
      <c r="O54" s="478">
        <f t="shared" si="3"/>
        <v>0</v>
      </c>
      <c r="P54" s="242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26181.136950904205</v>
      </c>
      <c r="E55" s="484">
        <f t="shared" si="7"/>
        <v>5809.5238095238092</v>
      </c>
      <c r="F55" s="485">
        <f t="shared" si="8"/>
        <v>20371.613141380396</v>
      </c>
      <c r="G55" s="486">
        <f t="shared" si="9"/>
        <v>8318.9788011252385</v>
      </c>
      <c r="H55" s="455">
        <f t="shared" si="10"/>
        <v>8318.9788011252385</v>
      </c>
      <c r="I55" s="475">
        <f t="shared" si="0"/>
        <v>0</v>
      </c>
      <c r="J55" s="475"/>
      <c r="K55" s="487"/>
      <c r="L55" s="478">
        <f t="shared" si="1"/>
        <v>0</v>
      </c>
      <c r="M55" s="487"/>
      <c r="N55" s="478">
        <f t="shared" si="2"/>
        <v>0</v>
      </c>
      <c r="O55" s="478">
        <f t="shared" si="3"/>
        <v>0</v>
      </c>
      <c r="P55" s="242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20371.613141380396</v>
      </c>
      <c r="E56" s="484">
        <f t="shared" si="7"/>
        <v>5809.5238095238092</v>
      </c>
      <c r="F56" s="485">
        <f t="shared" si="8"/>
        <v>14562.089331856587</v>
      </c>
      <c r="G56" s="486">
        <f t="shared" si="9"/>
        <v>7692.6468016735853</v>
      </c>
      <c r="H56" s="455">
        <f t="shared" si="10"/>
        <v>7692.6468016735853</v>
      </c>
      <c r="I56" s="475">
        <f t="shared" si="0"/>
        <v>0</v>
      </c>
      <c r="J56" s="475"/>
      <c r="K56" s="487"/>
      <c r="L56" s="478">
        <f t="shared" si="1"/>
        <v>0</v>
      </c>
      <c r="M56" s="487"/>
      <c r="N56" s="478">
        <f t="shared" si="2"/>
        <v>0</v>
      </c>
      <c r="O56" s="478">
        <f t="shared" si="3"/>
        <v>0</v>
      </c>
      <c r="P56" s="242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14562.089331856587</v>
      </c>
      <c r="E57" s="484">
        <f t="shared" si="7"/>
        <v>5809.5238095238092</v>
      </c>
      <c r="F57" s="485">
        <f t="shared" si="8"/>
        <v>8752.5655223327776</v>
      </c>
      <c r="G57" s="486">
        <f t="shared" si="9"/>
        <v>7066.314802221932</v>
      </c>
      <c r="H57" s="455">
        <f t="shared" si="10"/>
        <v>7066.314802221932</v>
      </c>
      <c r="I57" s="475">
        <f t="shared" si="0"/>
        <v>0</v>
      </c>
      <c r="J57" s="475"/>
      <c r="K57" s="487"/>
      <c r="L57" s="478">
        <f t="shared" si="1"/>
        <v>0</v>
      </c>
      <c r="M57" s="487"/>
      <c r="N57" s="478">
        <f t="shared" si="2"/>
        <v>0</v>
      </c>
      <c r="O57" s="478">
        <f t="shared" si="3"/>
        <v>0</v>
      </c>
      <c r="P57" s="242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8752.5655223327776</v>
      </c>
      <c r="E58" s="484">
        <f t="shared" si="7"/>
        <v>5809.5238095238092</v>
      </c>
      <c r="F58" s="485">
        <f t="shared" si="8"/>
        <v>2943.0417128089684</v>
      </c>
      <c r="G58" s="486">
        <f t="shared" si="9"/>
        <v>6439.9828027702788</v>
      </c>
      <c r="H58" s="455">
        <f t="shared" si="10"/>
        <v>6439.9828027702788</v>
      </c>
      <c r="I58" s="475">
        <f t="shared" si="0"/>
        <v>0</v>
      </c>
      <c r="J58" s="475"/>
      <c r="K58" s="487"/>
      <c r="L58" s="478">
        <f t="shared" si="1"/>
        <v>0</v>
      </c>
      <c r="M58" s="487"/>
      <c r="N58" s="478">
        <f t="shared" si="2"/>
        <v>0</v>
      </c>
      <c r="O58" s="478">
        <f t="shared" si="3"/>
        <v>0</v>
      </c>
      <c r="P58" s="242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2943.0417128089684</v>
      </c>
      <c r="E59" s="484">
        <f t="shared" si="7"/>
        <v>2943.0417128089684</v>
      </c>
      <c r="F59" s="485">
        <f t="shared" si="8"/>
        <v>0</v>
      </c>
      <c r="G59" s="486">
        <f t="shared" si="9"/>
        <v>3101.6882095692899</v>
      </c>
      <c r="H59" s="455">
        <f t="shared" si="10"/>
        <v>3101.6882095692899</v>
      </c>
      <c r="I59" s="475">
        <f t="shared" si="0"/>
        <v>0</v>
      </c>
      <c r="J59" s="475"/>
      <c r="K59" s="487"/>
      <c r="L59" s="478">
        <f t="shared" si="1"/>
        <v>0</v>
      </c>
      <c r="M59" s="487"/>
      <c r="N59" s="478">
        <f t="shared" si="2"/>
        <v>0</v>
      </c>
      <c r="O59" s="478">
        <f t="shared" si="3"/>
        <v>0</v>
      </c>
      <c r="P59" s="242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0"/>
        <v>0</v>
      </c>
      <c r="J60" s="475"/>
      <c r="K60" s="487"/>
      <c r="L60" s="478">
        <f t="shared" si="1"/>
        <v>0</v>
      </c>
      <c r="M60" s="487"/>
      <c r="N60" s="478">
        <f t="shared" si="2"/>
        <v>0</v>
      </c>
      <c r="O60" s="478">
        <f t="shared" si="3"/>
        <v>0</v>
      </c>
      <c r="P60" s="242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0"/>
        <v>0</v>
      </c>
      <c r="J61" s="475"/>
      <c r="K61" s="487"/>
      <c r="L61" s="478">
        <f t="shared" si="1"/>
        <v>0</v>
      </c>
      <c r="M61" s="487"/>
      <c r="N61" s="478">
        <f t="shared" si="2"/>
        <v>0</v>
      </c>
      <c r="O61" s="478">
        <f t="shared" si="3"/>
        <v>0</v>
      </c>
      <c r="P61" s="242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0"/>
        <v>0</v>
      </c>
      <c r="J62" s="475"/>
      <c r="K62" s="487"/>
      <c r="L62" s="478">
        <f t="shared" si="1"/>
        <v>0</v>
      </c>
      <c r="M62" s="487"/>
      <c r="N62" s="478">
        <f t="shared" si="2"/>
        <v>0</v>
      </c>
      <c r="O62" s="478">
        <f t="shared" si="3"/>
        <v>0</v>
      </c>
      <c r="P62" s="242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0"/>
        <v>0</v>
      </c>
      <c r="J63" s="475"/>
      <c r="K63" s="487"/>
      <c r="L63" s="478">
        <f t="shared" si="1"/>
        <v>0</v>
      </c>
      <c r="M63" s="487"/>
      <c r="N63" s="478">
        <f t="shared" si="2"/>
        <v>0</v>
      </c>
      <c r="O63" s="478">
        <f t="shared" si="3"/>
        <v>0</v>
      </c>
      <c r="P63" s="242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0"/>
        <v>0</v>
      </c>
      <c r="J64" s="475"/>
      <c r="K64" s="487"/>
      <c r="L64" s="478">
        <f t="shared" si="1"/>
        <v>0</v>
      </c>
      <c r="M64" s="487"/>
      <c r="N64" s="478">
        <f t="shared" si="2"/>
        <v>0</v>
      </c>
      <c r="O64" s="478">
        <f t="shared" si="3"/>
        <v>0</v>
      </c>
      <c r="P64" s="242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0"/>
        <v>0</v>
      </c>
      <c r="J65" s="475"/>
      <c r="K65" s="487"/>
      <c r="L65" s="478">
        <f t="shared" si="1"/>
        <v>0</v>
      </c>
      <c r="M65" s="487"/>
      <c r="N65" s="478">
        <f t="shared" si="2"/>
        <v>0</v>
      </c>
      <c r="O65" s="478">
        <f t="shared" si="3"/>
        <v>0</v>
      </c>
      <c r="P65" s="242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0"/>
        <v>0</v>
      </c>
      <c r="J66" s="475"/>
      <c r="K66" s="487"/>
      <c r="L66" s="478">
        <f t="shared" si="1"/>
        <v>0</v>
      </c>
      <c r="M66" s="487"/>
      <c r="N66" s="478">
        <f t="shared" si="2"/>
        <v>0</v>
      </c>
      <c r="O66" s="478">
        <f t="shared" si="3"/>
        <v>0</v>
      </c>
      <c r="P66" s="242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0"/>
        <v>0</v>
      </c>
      <c r="J67" s="475"/>
      <c r="K67" s="487"/>
      <c r="L67" s="478">
        <f t="shared" si="1"/>
        <v>0</v>
      </c>
      <c r="M67" s="487"/>
      <c r="N67" s="478">
        <f t="shared" si="2"/>
        <v>0</v>
      </c>
      <c r="O67" s="478">
        <f t="shared" si="3"/>
        <v>0</v>
      </c>
      <c r="P67" s="242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0"/>
        <v>0</v>
      </c>
      <c r="J68" s="475"/>
      <c r="K68" s="487"/>
      <c r="L68" s="478">
        <f t="shared" si="1"/>
        <v>0</v>
      </c>
      <c r="M68" s="487"/>
      <c r="N68" s="478">
        <f t="shared" si="2"/>
        <v>0</v>
      </c>
      <c r="O68" s="478">
        <f t="shared" si="3"/>
        <v>0</v>
      </c>
      <c r="P68" s="242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0"/>
        <v>0</v>
      </c>
      <c r="J69" s="475"/>
      <c r="K69" s="487"/>
      <c r="L69" s="478">
        <f t="shared" si="1"/>
        <v>0</v>
      </c>
      <c r="M69" s="487"/>
      <c r="N69" s="478">
        <f t="shared" si="2"/>
        <v>0</v>
      </c>
      <c r="O69" s="478">
        <f t="shared" si="3"/>
        <v>0</v>
      </c>
      <c r="P69" s="242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0"/>
        <v>0</v>
      </c>
      <c r="J70" s="475"/>
      <c r="K70" s="487"/>
      <c r="L70" s="478">
        <f t="shared" si="1"/>
        <v>0</v>
      </c>
      <c r="M70" s="487"/>
      <c r="N70" s="478">
        <f t="shared" si="2"/>
        <v>0</v>
      </c>
      <c r="O70" s="478">
        <f t="shared" si="3"/>
        <v>0</v>
      </c>
      <c r="P70" s="242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0"/>
        <v>0</v>
      </c>
      <c r="J71" s="475"/>
      <c r="K71" s="487"/>
      <c r="L71" s="478">
        <f t="shared" si="1"/>
        <v>0</v>
      </c>
      <c r="M71" s="487"/>
      <c r="N71" s="478">
        <f t="shared" si="2"/>
        <v>0</v>
      </c>
      <c r="O71" s="478">
        <f t="shared" si="3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 t="shared" si="7"/>
        <v>0</v>
      </c>
      <c r="F72" s="490">
        <f t="shared" si="8"/>
        <v>0</v>
      </c>
      <c r="G72" s="544">
        <f t="shared" si="9"/>
        <v>0</v>
      </c>
      <c r="H72" s="435">
        <f t="shared" si="10"/>
        <v>0</v>
      </c>
      <c r="I72" s="493">
        <f t="shared" si="0"/>
        <v>0</v>
      </c>
      <c r="J72" s="475"/>
      <c r="K72" s="494"/>
      <c r="L72" s="495">
        <f t="shared" si="1"/>
        <v>0</v>
      </c>
      <c r="M72" s="494"/>
      <c r="N72" s="495">
        <f t="shared" si="2"/>
        <v>0</v>
      </c>
      <c r="O72" s="495">
        <f t="shared" si="3"/>
        <v>0</v>
      </c>
      <c r="P72" s="242"/>
    </row>
    <row r="73" spans="2:16">
      <c r="C73" s="346" t="s">
        <v>77</v>
      </c>
      <c r="D73" s="347"/>
      <c r="E73" s="347">
        <f>SUM(E17:E72)</f>
        <v>244000.00000000003</v>
      </c>
      <c r="F73" s="347"/>
      <c r="G73" s="347">
        <f>SUM(G17:G72)</f>
        <v>799063.8345137781</v>
      </c>
      <c r="H73" s="347">
        <f>SUM(H17:H72)</f>
        <v>799063.8345137781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22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30970.52236185109</v>
      </c>
      <c r="N87" s="508">
        <f>IF(J92&lt;D11,0,VLOOKUP(J92,C17:O72,11))</f>
        <v>30970.52236185109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32466.198637614907</v>
      </c>
      <c r="N88" s="512">
        <f>IF(J92&lt;D11,0,VLOOKUP(J92,C99:P154,7))</f>
        <v>32466.198637614907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Northeastern Station 138 kV Terminal Upgrades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1495.6762757638171</v>
      </c>
      <c r="N89" s="517">
        <f>+N88-N87</f>
        <v>1495.6762757638171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TP2015169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244000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5810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2837</v>
      </c>
      <c r="F99" s="584">
        <v>241163</v>
      </c>
      <c r="G99" s="608">
        <v>120581.5</v>
      </c>
      <c r="H99" s="587">
        <v>15225.00875134001</v>
      </c>
      <c r="I99" s="607">
        <v>15225.00875134001</v>
      </c>
      <c r="J99" s="478">
        <f t="shared" ref="J99:J130" si="11">+I99-H99</f>
        <v>0</v>
      </c>
      <c r="K99" s="478"/>
      <c r="L99" s="477">
        <f>+H99</f>
        <v>15225.00875134001</v>
      </c>
      <c r="M99" s="477">
        <f t="shared" ref="M99" si="12">IF(L99&lt;&gt;0,+H99-L99,0)</f>
        <v>0</v>
      </c>
      <c r="N99" s="477">
        <f>+I99</f>
        <v>15225.00875134001</v>
      </c>
      <c r="O99" s="477">
        <f t="shared" ref="O99" si="13">IF(N99&lt;&gt;0,+I99-N99,0)</f>
        <v>0</v>
      </c>
      <c r="P99" s="477">
        <f t="shared" ref="P99" si="14">+O99-M99</f>
        <v>0</v>
      </c>
    </row>
    <row r="100" spans="1:16">
      <c r="B100" s="160" t="str">
        <f>IF(D100=F99,"","IU")</f>
        <v/>
      </c>
      <c r="C100" s="472">
        <f>IF(D93="","-",+C99+1)</f>
        <v>2019</v>
      </c>
      <c r="D100" s="578">
        <v>241163</v>
      </c>
      <c r="E100" s="579">
        <v>5951</v>
      </c>
      <c r="F100" s="578">
        <v>235212</v>
      </c>
      <c r="G100" s="579">
        <v>238187.5</v>
      </c>
      <c r="H100" s="602">
        <v>30511.472087080136</v>
      </c>
      <c r="I100" s="578">
        <v>30511.472087080136</v>
      </c>
      <c r="J100" s="478">
        <f t="shared" si="11"/>
        <v>0</v>
      </c>
      <c r="K100" s="478"/>
      <c r="L100" s="476">
        <f>H100</f>
        <v>30511.472087080136</v>
      </c>
      <c r="M100" s="348">
        <f>IF(L100&lt;&gt;0,+H100-L100,0)</f>
        <v>0</v>
      </c>
      <c r="N100" s="476">
        <f>I100</f>
        <v>30511.472087080136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78">
        <v>235212</v>
      </c>
      <c r="E101" s="579">
        <v>5674</v>
      </c>
      <c r="F101" s="578">
        <v>229538</v>
      </c>
      <c r="G101" s="579">
        <v>232375</v>
      </c>
      <c r="H101" s="602">
        <v>32466.198637614907</v>
      </c>
      <c r="I101" s="578">
        <v>32466.198637614907</v>
      </c>
      <c r="J101" s="478">
        <f t="shared" si="11"/>
        <v>0</v>
      </c>
      <c r="K101" s="478"/>
      <c r="L101" s="476">
        <f>H101</f>
        <v>32466.198637614907</v>
      </c>
      <c r="M101" s="348">
        <f>IF(L101&lt;&gt;0,+H101-L101,0)</f>
        <v>0</v>
      </c>
      <c r="N101" s="476">
        <f>I101</f>
        <v>32466.198637614907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6">
        <f>IF(F101+SUM(E$99:E101)=D$92,F101,D$92-SUM(E$99:E101))</f>
        <v>229538</v>
      </c>
      <c r="E102" s="484">
        <f t="shared" ref="E102:E154" si="18">IF(+J$96&lt;F101,J$96,D102)</f>
        <v>5810</v>
      </c>
      <c r="F102" s="485">
        <f t="shared" ref="F102:F154" si="19">+D102-E102</f>
        <v>223728</v>
      </c>
      <c r="G102" s="485">
        <f t="shared" ref="G102:G154" si="20">+(F102+D102)/2</f>
        <v>226633</v>
      </c>
      <c r="H102" s="613">
        <f t="shared" ref="H102:H154" si="21">+J$94*G102+E102</f>
        <v>30243.586071034901</v>
      </c>
      <c r="I102" s="614">
        <f t="shared" ref="I102:I154" si="22">+J$95*G102+E102</f>
        <v>30243.586071034901</v>
      </c>
      <c r="J102" s="478">
        <f t="shared" si="11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6">
        <f>IF(F102+SUM(E$99:E102)=D$92,F102,D$92-SUM(E$99:E102))</f>
        <v>223728</v>
      </c>
      <c r="E103" s="484">
        <f t="shared" si="18"/>
        <v>5810</v>
      </c>
      <c r="F103" s="485">
        <f t="shared" si="19"/>
        <v>217918</v>
      </c>
      <c r="G103" s="485">
        <f t="shared" si="20"/>
        <v>220823</v>
      </c>
      <c r="H103" s="613">
        <f t="shared" si="21"/>
        <v>29617.20273289477</v>
      </c>
      <c r="I103" s="614">
        <f t="shared" si="22"/>
        <v>29617.20273289477</v>
      </c>
      <c r="J103" s="478">
        <f t="shared" si="11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6">
        <f>IF(F103+SUM(E$99:E103)=D$92,F103,D$92-SUM(E$99:E103))</f>
        <v>217918</v>
      </c>
      <c r="E104" s="484">
        <f t="shared" si="18"/>
        <v>5810</v>
      </c>
      <c r="F104" s="485">
        <f t="shared" si="19"/>
        <v>212108</v>
      </c>
      <c r="G104" s="485">
        <f t="shared" si="20"/>
        <v>215013</v>
      </c>
      <c r="H104" s="613">
        <f t="shared" si="21"/>
        <v>28990.819394754635</v>
      </c>
      <c r="I104" s="614">
        <f t="shared" si="22"/>
        <v>28990.819394754635</v>
      </c>
      <c r="J104" s="478">
        <f t="shared" si="11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6">
        <f>IF(F104+SUM(E$99:E104)=D$92,F104,D$92-SUM(E$99:E104))</f>
        <v>212108</v>
      </c>
      <c r="E105" s="484">
        <f t="shared" si="18"/>
        <v>5810</v>
      </c>
      <c r="F105" s="485">
        <f t="shared" si="19"/>
        <v>206298</v>
      </c>
      <c r="G105" s="485">
        <f t="shared" si="20"/>
        <v>209203</v>
      </c>
      <c r="H105" s="613">
        <f t="shared" si="21"/>
        <v>28364.436056614504</v>
      </c>
      <c r="I105" s="614">
        <f t="shared" si="22"/>
        <v>28364.436056614504</v>
      </c>
      <c r="J105" s="478">
        <f t="shared" si="11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6">
        <f>IF(F105+SUM(E$99:E105)=D$92,F105,D$92-SUM(E$99:E105))</f>
        <v>206298</v>
      </c>
      <c r="E106" s="484">
        <f t="shared" si="18"/>
        <v>5810</v>
      </c>
      <c r="F106" s="485">
        <f t="shared" si="19"/>
        <v>200488</v>
      </c>
      <c r="G106" s="485">
        <f t="shared" si="20"/>
        <v>203393</v>
      </c>
      <c r="H106" s="613">
        <f t="shared" si="21"/>
        <v>27738.05271847437</v>
      </c>
      <c r="I106" s="614">
        <f t="shared" si="22"/>
        <v>27738.05271847437</v>
      </c>
      <c r="J106" s="478">
        <f t="shared" si="11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6">
        <f>IF(F106+SUM(E$99:E106)=D$92,F106,D$92-SUM(E$99:E106))</f>
        <v>200488</v>
      </c>
      <c r="E107" s="484">
        <f t="shared" si="18"/>
        <v>5810</v>
      </c>
      <c r="F107" s="485">
        <f t="shared" si="19"/>
        <v>194678</v>
      </c>
      <c r="G107" s="485">
        <f t="shared" si="20"/>
        <v>197583</v>
      </c>
      <c r="H107" s="613">
        <f t="shared" si="21"/>
        <v>27111.669380334235</v>
      </c>
      <c r="I107" s="614">
        <f t="shared" si="22"/>
        <v>27111.669380334235</v>
      </c>
      <c r="J107" s="478">
        <f t="shared" si="11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6">
        <f>IF(F107+SUM(E$99:E107)=D$92,F107,D$92-SUM(E$99:E107))</f>
        <v>194678</v>
      </c>
      <c r="E108" s="484">
        <f t="shared" si="18"/>
        <v>5810</v>
      </c>
      <c r="F108" s="485">
        <f t="shared" si="19"/>
        <v>188868</v>
      </c>
      <c r="G108" s="485">
        <f t="shared" si="20"/>
        <v>191773</v>
      </c>
      <c r="H108" s="613">
        <f t="shared" si="21"/>
        <v>26485.286042194104</v>
      </c>
      <c r="I108" s="614">
        <f t="shared" si="22"/>
        <v>26485.286042194104</v>
      </c>
      <c r="J108" s="478">
        <f t="shared" si="11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6">
        <f>IF(F108+SUM(E$99:E108)=D$92,F108,D$92-SUM(E$99:E108))</f>
        <v>188868</v>
      </c>
      <c r="E109" s="484">
        <f t="shared" si="18"/>
        <v>5810</v>
      </c>
      <c r="F109" s="485">
        <f t="shared" si="19"/>
        <v>183058</v>
      </c>
      <c r="G109" s="485">
        <f t="shared" si="20"/>
        <v>185963</v>
      </c>
      <c r="H109" s="613">
        <f t="shared" si="21"/>
        <v>25858.90270405397</v>
      </c>
      <c r="I109" s="614">
        <f t="shared" si="22"/>
        <v>25858.90270405397</v>
      </c>
      <c r="J109" s="478">
        <f t="shared" si="11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6">
        <f>IF(F109+SUM(E$99:E109)=D$92,F109,D$92-SUM(E$99:E109))</f>
        <v>183058</v>
      </c>
      <c r="E110" s="484">
        <f t="shared" si="18"/>
        <v>5810</v>
      </c>
      <c r="F110" s="485">
        <f t="shared" si="19"/>
        <v>177248</v>
      </c>
      <c r="G110" s="485">
        <f t="shared" si="20"/>
        <v>180153</v>
      </c>
      <c r="H110" s="613">
        <f t="shared" si="21"/>
        <v>25232.519365913839</v>
      </c>
      <c r="I110" s="614">
        <f t="shared" si="22"/>
        <v>25232.519365913839</v>
      </c>
      <c r="J110" s="478">
        <f t="shared" si="11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6">
        <f>IF(F110+SUM(E$99:E110)=D$92,F110,D$92-SUM(E$99:E110))</f>
        <v>177248</v>
      </c>
      <c r="E111" s="484">
        <f t="shared" si="18"/>
        <v>5810</v>
      </c>
      <c r="F111" s="485">
        <f t="shared" si="19"/>
        <v>171438</v>
      </c>
      <c r="G111" s="485">
        <f t="shared" si="20"/>
        <v>174343</v>
      </c>
      <c r="H111" s="613">
        <f t="shared" si="21"/>
        <v>24606.136027773704</v>
      </c>
      <c r="I111" s="614">
        <f t="shared" si="22"/>
        <v>24606.136027773704</v>
      </c>
      <c r="J111" s="478">
        <f t="shared" si="11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6">
        <f>IF(F111+SUM(E$99:E111)=D$92,F111,D$92-SUM(E$99:E111))</f>
        <v>171438</v>
      </c>
      <c r="E112" s="484">
        <f t="shared" si="18"/>
        <v>5810</v>
      </c>
      <c r="F112" s="485">
        <f t="shared" si="19"/>
        <v>165628</v>
      </c>
      <c r="G112" s="485">
        <f t="shared" si="20"/>
        <v>168533</v>
      </c>
      <c r="H112" s="613">
        <f t="shared" si="21"/>
        <v>23979.752689633569</v>
      </c>
      <c r="I112" s="614">
        <f t="shared" si="22"/>
        <v>23979.752689633569</v>
      </c>
      <c r="J112" s="478">
        <f t="shared" si="11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6">
        <f>IF(F112+SUM(E$99:E112)=D$92,F112,D$92-SUM(E$99:E112))</f>
        <v>165628</v>
      </c>
      <c r="E113" s="484">
        <f t="shared" si="18"/>
        <v>5810</v>
      </c>
      <c r="F113" s="485">
        <f t="shared" si="19"/>
        <v>159818</v>
      </c>
      <c r="G113" s="485">
        <f t="shared" si="20"/>
        <v>162723</v>
      </c>
      <c r="H113" s="613">
        <f t="shared" si="21"/>
        <v>23353.369351493438</v>
      </c>
      <c r="I113" s="614">
        <f t="shared" si="22"/>
        <v>23353.369351493438</v>
      </c>
      <c r="J113" s="478">
        <f t="shared" si="11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6">
        <f>IF(F113+SUM(E$99:E113)=D$92,F113,D$92-SUM(E$99:E113))</f>
        <v>159818</v>
      </c>
      <c r="E114" s="484">
        <f t="shared" si="18"/>
        <v>5810</v>
      </c>
      <c r="F114" s="485">
        <f t="shared" si="19"/>
        <v>154008</v>
      </c>
      <c r="G114" s="485">
        <f t="shared" si="20"/>
        <v>156913</v>
      </c>
      <c r="H114" s="613">
        <f t="shared" si="21"/>
        <v>22726.986013353304</v>
      </c>
      <c r="I114" s="614">
        <f t="shared" si="22"/>
        <v>22726.986013353304</v>
      </c>
      <c r="J114" s="478">
        <f t="shared" si="11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6">
        <f>IF(F114+SUM(E$99:E114)=D$92,F114,D$92-SUM(E$99:E114))</f>
        <v>154008</v>
      </c>
      <c r="E115" s="484">
        <f t="shared" si="18"/>
        <v>5810</v>
      </c>
      <c r="F115" s="485">
        <f t="shared" si="19"/>
        <v>148198</v>
      </c>
      <c r="G115" s="485">
        <f t="shared" si="20"/>
        <v>151103</v>
      </c>
      <c r="H115" s="613">
        <f t="shared" si="21"/>
        <v>22100.602675213173</v>
      </c>
      <c r="I115" s="614">
        <f t="shared" si="22"/>
        <v>22100.602675213173</v>
      </c>
      <c r="J115" s="478">
        <f t="shared" si="11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6">
        <f>IF(F115+SUM(E$99:E115)=D$92,F115,D$92-SUM(E$99:E115))</f>
        <v>148198</v>
      </c>
      <c r="E116" s="484">
        <f t="shared" si="18"/>
        <v>5810</v>
      </c>
      <c r="F116" s="485">
        <f t="shared" si="19"/>
        <v>142388</v>
      </c>
      <c r="G116" s="485">
        <f t="shared" si="20"/>
        <v>145293</v>
      </c>
      <c r="H116" s="613">
        <f t="shared" si="21"/>
        <v>21474.219337073038</v>
      </c>
      <c r="I116" s="614">
        <f t="shared" si="22"/>
        <v>21474.219337073038</v>
      </c>
      <c r="J116" s="478">
        <f t="shared" si="11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6">
        <f>IF(F116+SUM(E$99:E116)=D$92,F116,D$92-SUM(E$99:E116))</f>
        <v>142388</v>
      </c>
      <c r="E117" s="484">
        <f t="shared" si="18"/>
        <v>5810</v>
      </c>
      <c r="F117" s="485">
        <f t="shared" si="19"/>
        <v>136578</v>
      </c>
      <c r="G117" s="485">
        <f t="shared" si="20"/>
        <v>139483</v>
      </c>
      <c r="H117" s="613">
        <f t="shared" si="21"/>
        <v>20847.835998932904</v>
      </c>
      <c r="I117" s="614">
        <f t="shared" si="22"/>
        <v>20847.835998932904</v>
      </c>
      <c r="J117" s="478">
        <f t="shared" si="11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6">
        <f>IF(F117+SUM(E$99:E117)=D$92,F117,D$92-SUM(E$99:E117))</f>
        <v>136578</v>
      </c>
      <c r="E118" s="484">
        <f t="shared" si="18"/>
        <v>5810</v>
      </c>
      <c r="F118" s="485">
        <f t="shared" si="19"/>
        <v>130768</v>
      </c>
      <c r="G118" s="485">
        <f t="shared" si="20"/>
        <v>133673</v>
      </c>
      <c r="H118" s="613">
        <f t="shared" si="21"/>
        <v>20221.452660792773</v>
      </c>
      <c r="I118" s="614">
        <f t="shared" si="22"/>
        <v>20221.452660792773</v>
      </c>
      <c r="J118" s="478">
        <f t="shared" si="11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6">
        <f>IF(F118+SUM(E$99:E118)=D$92,F118,D$92-SUM(E$99:E118))</f>
        <v>130768</v>
      </c>
      <c r="E119" s="484">
        <f t="shared" si="18"/>
        <v>5810</v>
      </c>
      <c r="F119" s="485">
        <f t="shared" si="19"/>
        <v>124958</v>
      </c>
      <c r="G119" s="485">
        <f t="shared" si="20"/>
        <v>127863</v>
      </c>
      <c r="H119" s="613">
        <f t="shared" si="21"/>
        <v>19595.069322652642</v>
      </c>
      <c r="I119" s="614">
        <f t="shared" si="22"/>
        <v>19595.069322652642</v>
      </c>
      <c r="J119" s="478">
        <f t="shared" si="11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6">
        <f>IF(F119+SUM(E$99:E119)=D$92,F119,D$92-SUM(E$99:E119))</f>
        <v>124958</v>
      </c>
      <c r="E120" s="484">
        <f t="shared" si="18"/>
        <v>5810</v>
      </c>
      <c r="F120" s="485">
        <f t="shared" si="19"/>
        <v>119148</v>
      </c>
      <c r="G120" s="485">
        <f t="shared" si="20"/>
        <v>122053</v>
      </c>
      <c r="H120" s="613">
        <f t="shared" si="21"/>
        <v>18968.685984512507</v>
      </c>
      <c r="I120" s="614">
        <f t="shared" si="22"/>
        <v>18968.685984512507</v>
      </c>
      <c r="J120" s="478">
        <f t="shared" si="11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6">
        <f>IF(F120+SUM(E$99:E120)=D$92,F120,D$92-SUM(E$99:E120))</f>
        <v>119148</v>
      </c>
      <c r="E121" s="484">
        <f t="shared" si="18"/>
        <v>5810</v>
      </c>
      <c r="F121" s="485">
        <f t="shared" si="19"/>
        <v>113338</v>
      </c>
      <c r="G121" s="485">
        <f t="shared" si="20"/>
        <v>116243</v>
      </c>
      <c r="H121" s="613">
        <f t="shared" si="21"/>
        <v>18342.302646372373</v>
      </c>
      <c r="I121" s="614">
        <f t="shared" si="22"/>
        <v>18342.302646372373</v>
      </c>
      <c r="J121" s="478">
        <f t="shared" si="11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6">
        <f>IF(F121+SUM(E$99:E121)=D$92,F121,D$92-SUM(E$99:E121))</f>
        <v>113338</v>
      </c>
      <c r="E122" s="484">
        <f t="shared" si="18"/>
        <v>5810</v>
      </c>
      <c r="F122" s="485">
        <f t="shared" si="19"/>
        <v>107528</v>
      </c>
      <c r="G122" s="485">
        <f t="shared" si="20"/>
        <v>110433</v>
      </c>
      <c r="H122" s="613">
        <f t="shared" si="21"/>
        <v>17715.919308232238</v>
      </c>
      <c r="I122" s="614">
        <f t="shared" si="22"/>
        <v>17715.919308232238</v>
      </c>
      <c r="J122" s="478">
        <f t="shared" si="11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6">
        <f>IF(F122+SUM(E$99:E122)=D$92,F122,D$92-SUM(E$99:E122))</f>
        <v>107528</v>
      </c>
      <c r="E123" s="484">
        <f t="shared" si="18"/>
        <v>5810</v>
      </c>
      <c r="F123" s="485">
        <f t="shared" si="19"/>
        <v>101718</v>
      </c>
      <c r="G123" s="485">
        <f t="shared" si="20"/>
        <v>104623</v>
      </c>
      <c r="H123" s="613">
        <f t="shared" si="21"/>
        <v>17089.535970092107</v>
      </c>
      <c r="I123" s="614">
        <f t="shared" si="22"/>
        <v>17089.535970092107</v>
      </c>
      <c r="J123" s="478">
        <f t="shared" si="11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6">
        <f>IF(F123+SUM(E$99:E123)=D$92,F123,D$92-SUM(E$99:E123))</f>
        <v>101718</v>
      </c>
      <c r="E124" s="484">
        <f t="shared" si="18"/>
        <v>5810</v>
      </c>
      <c r="F124" s="485">
        <f t="shared" si="19"/>
        <v>95908</v>
      </c>
      <c r="G124" s="485">
        <f t="shared" si="20"/>
        <v>98813</v>
      </c>
      <c r="H124" s="613">
        <f t="shared" si="21"/>
        <v>16463.152631951976</v>
      </c>
      <c r="I124" s="614">
        <f t="shared" si="22"/>
        <v>16463.152631951976</v>
      </c>
      <c r="J124" s="478">
        <f t="shared" si="11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6">
        <f>IF(F124+SUM(E$99:E124)=D$92,F124,D$92-SUM(E$99:E124))</f>
        <v>95908</v>
      </c>
      <c r="E125" s="484">
        <f t="shared" si="18"/>
        <v>5810</v>
      </c>
      <c r="F125" s="485">
        <f t="shared" si="19"/>
        <v>90098</v>
      </c>
      <c r="G125" s="485">
        <f t="shared" si="20"/>
        <v>93003</v>
      </c>
      <c r="H125" s="613">
        <f t="shared" si="21"/>
        <v>15836.769293811842</v>
      </c>
      <c r="I125" s="614">
        <f t="shared" si="22"/>
        <v>15836.769293811842</v>
      </c>
      <c r="J125" s="478">
        <f t="shared" si="11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6">
        <f>IF(F125+SUM(E$99:E125)=D$92,F125,D$92-SUM(E$99:E125))</f>
        <v>90098</v>
      </c>
      <c r="E126" s="484">
        <f t="shared" si="18"/>
        <v>5810</v>
      </c>
      <c r="F126" s="485">
        <f t="shared" si="19"/>
        <v>84288</v>
      </c>
      <c r="G126" s="485">
        <f t="shared" si="20"/>
        <v>87193</v>
      </c>
      <c r="H126" s="613">
        <f t="shared" si="21"/>
        <v>15210.385955671709</v>
      </c>
      <c r="I126" s="614">
        <f t="shared" si="22"/>
        <v>15210.385955671709</v>
      </c>
      <c r="J126" s="478">
        <f t="shared" si="11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6">
        <f>IF(F126+SUM(E$99:E126)=D$92,F126,D$92-SUM(E$99:E126))</f>
        <v>84288</v>
      </c>
      <c r="E127" s="484">
        <f t="shared" si="18"/>
        <v>5810</v>
      </c>
      <c r="F127" s="485">
        <f t="shared" si="19"/>
        <v>78478</v>
      </c>
      <c r="G127" s="485">
        <f t="shared" si="20"/>
        <v>81383</v>
      </c>
      <c r="H127" s="613">
        <f t="shared" si="21"/>
        <v>14584.002617531574</v>
      </c>
      <c r="I127" s="614">
        <f t="shared" si="22"/>
        <v>14584.002617531574</v>
      </c>
      <c r="J127" s="478">
        <f t="shared" si="11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6">
        <f>IF(F127+SUM(E$99:E127)=D$92,F127,D$92-SUM(E$99:E127))</f>
        <v>78478</v>
      </c>
      <c r="E128" s="484">
        <f t="shared" si="18"/>
        <v>5810</v>
      </c>
      <c r="F128" s="485">
        <f t="shared" si="19"/>
        <v>72668</v>
      </c>
      <c r="G128" s="485">
        <f t="shared" si="20"/>
        <v>75573</v>
      </c>
      <c r="H128" s="613">
        <f t="shared" si="21"/>
        <v>13957.619279391442</v>
      </c>
      <c r="I128" s="614">
        <f t="shared" si="22"/>
        <v>13957.619279391442</v>
      </c>
      <c r="J128" s="478">
        <f t="shared" si="11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6">
        <f>IF(F128+SUM(E$99:E128)=D$92,F128,D$92-SUM(E$99:E128))</f>
        <v>72668</v>
      </c>
      <c r="E129" s="484">
        <f t="shared" si="18"/>
        <v>5810</v>
      </c>
      <c r="F129" s="485">
        <f t="shared" si="19"/>
        <v>66858</v>
      </c>
      <c r="G129" s="485">
        <f t="shared" si="20"/>
        <v>69763</v>
      </c>
      <c r="H129" s="613">
        <f t="shared" si="21"/>
        <v>13331.235941251309</v>
      </c>
      <c r="I129" s="614">
        <f t="shared" si="22"/>
        <v>13331.235941251309</v>
      </c>
      <c r="J129" s="478">
        <f t="shared" si="11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6">
        <f>IF(F129+SUM(E$99:E129)=D$92,F129,D$92-SUM(E$99:E129))</f>
        <v>66858</v>
      </c>
      <c r="E130" s="484">
        <f t="shared" si="18"/>
        <v>5810</v>
      </c>
      <c r="F130" s="485">
        <f t="shared" si="19"/>
        <v>61048</v>
      </c>
      <c r="G130" s="485">
        <f t="shared" si="20"/>
        <v>63953</v>
      </c>
      <c r="H130" s="613">
        <f t="shared" si="21"/>
        <v>12704.852603111176</v>
      </c>
      <c r="I130" s="614">
        <f t="shared" si="22"/>
        <v>12704.852603111176</v>
      </c>
      <c r="J130" s="478">
        <f t="shared" si="11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6">
        <f>IF(F130+SUM(E$99:E130)=D$92,F130,D$92-SUM(E$99:E130))</f>
        <v>61048</v>
      </c>
      <c r="E131" s="484">
        <f t="shared" si="18"/>
        <v>5810</v>
      </c>
      <c r="F131" s="485">
        <f t="shared" si="19"/>
        <v>55238</v>
      </c>
      <c r="G131" s="485">
        <f t="shared" si="20"/>
        <v>58143</v>
      </c>
      <c r="H131" s="613">
        <f t="shared" si="21"/>
        <v>12078.469264971041</v>
      </c>
      <c r="I131" s="614">
        <f t="shared" si="22"/>
        <v>12078.469264971041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6">
        <f>IF(F131+SUM(E$99:E131)=D$92,F131,D$92-SUM(E$99:E131))</f>
        <v>55238</v>
      </c>
      <c r="E132" s="484">
        <f t="shared" si="18"/>
        <v>5810</v>
      </c>
      <c r="F132" s="485">
        <f t="shared" si="19"/>
        <v>49428</v>
      </c>
      <c r="G132" s="485">
        <f t="shared" si="20"/>
        <v>52333</v>
      </c>
      <c r="H132" s="613">
        <f t="shared" si="21"/>
        <v>11452.08592683091</v>
      </c>
      <c r="I132" s="614">
        <f t="shared" si="22"/>
        <v>11452.08592683091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6">
        <f>IF(F132+SUM(E$99:E132)=D$92,F132,D$92-SUM(E$99:E132))</f>
        <v>49428</v>
      </c>
      <c r="E133" s="484">
        <f t="shared" si="18"/>
        <v>5810</v>
      </c>
      <c r="F133" s="485">
        <f t="shared" si="19"/>
        <v>43618</v>
      </c>
      <c r="G133" s="485">
        <f t="shared" si="20"/>
        <v>46523</v>
      </c>
      <c r="H133" s="613">
        <f t="shared" si="21"/>
        <v>10825.702588690776</v>
      </c>
      <c r="I133" s="614">
        <f t="shared" si="22"/>
        <v>10825.702588690776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6">
        <f>IF(F133+SUM(E$99:E133)=D$92,F133,D$92-SUM(E$99:E133))</f>
        <v>43618</v>
      </c>
      <c r="E134" s="484">
        <f t="shared" si="18"/>
        <v>5810</v>
      </c>
      <c r="F134" s="485">
        <f t="shared" si="19"/>
        <v>37808</v>
      </c>
      <c r="G134" s="485">
        <f t="shared" si="20"/>
        <v>40713</v>
      </c>
      <c r="H134" s="613">
        <f t="shared" si="21"/>
        <v>10199.319250550643</v>
      </c>
      <c r="I134" s="614">
        <f t="shared" si="22"/>
        <v>10199.319250550643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6">
        <f>IF(F134+SUM(E$99:E134)=D$92,F134,D$92-SUM(E$99:E134))</f>
        <v>37808</v>
      </c>
      <c r="E135" s="484">
        <f t="shared" si="18"/>
        <v>5810</v>
      </c>
      <c r="F135" s="485">
        <f t="shared" si="19"/>
        <v>31998</v>
      </c>
      <c r="G135" s="485">
        <f t="shared" si="20"/>
        <v>34903</v>
      </c>
      <c r="H135" s="613">
        <f t="shared" si="21"/>
        <v>9572.9359124105104</v>
      </c>
      <c r="I135" s="614">
        <f t="shared" si="22"/>
        <v>9572.9359124105104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6">
        <f>IF(F135+SUM(E$99:E135)=D$92,F135,D$92-SUM(E$99:E135))</f>
        <v>31998</v>
      </c>
      <c r="E136" s="484">
        <f t="shared" si="18"/>
        <v>5810</v>
      </c>
      <c r="F136" s="485">
        <f t="shared" si="19"/>
        <v>26188</v>
      </c>
      <c r="G136" s="485">
        <f t="shared" si="20"/>
        <v>29093</v>
      </c>
      <c r="H136" s="613">
        <f t="shared" si="21"/>
        <v>8946.5525742703776</v>
      </c>
      <c r="I136" s="614">
        <f t="shared" si="22"/>
        <v>8946.5525742703776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6">
        <f>IF(F136+SUM(E$99:E136)=D$92,F136,D$92-SUM(E$99:E136))</f>
        <v>26188</v>
      </c>
      <c r="E137" s="484">
        <f t="shared" si="18"/>
        <v>5810</v>
      </c>
      <c r="F137" s="485">
        <f t="shared" si="19"/>
        <v>20378</v>
      </c>
      <c r="G137" s="485">
        <f t="shared" si="20"/>
        <v>23283</v>
      </c>
      <c r="H137" s="613">
        <f t="shared" si="21"/>
        <v>8320.1692361302448</v>
      </c>
      <c r="I137" s="614">
        <f t="shared" si="22"/>
        <v>8320.1692361302448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6">
        <f>IF(F137+SUM(E$99:E137)=D$92,F137,D$92-SUM(E$99:E137))</f>
        <v>20378</v>
      </c>
      <c r="E138" s="484">
        <f t="shared" si="18"/>
        <v>5810</v>
      </c>
      <c r="F138" s="485">
        <f t="shared" si="19"/>
        <v>14568</v>
      </c>
      <c r="G138" s="485">
        <f t="shared" si="20"/>
        <v>17473</v>
      </c>
      <c r="H138" s="613">
        <f t="shared" si="21"/>
        <v>7693.7858979901112</v>
      </c>
      <c r="I138" s="614">
        <f t="shared" si="22"/>
        <v>7693.7858979901112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6">
        <f>IF(F138+SUM(E$99:E138)=D$92,F138,D$92-SUM(E$99:E138))</f>
        <v>14568</v>
      </c>
      <c r="E139" s="484">
        <f t="shared" si="18"/>
        <v>5810</v>
      </c>
      <c r="F139" s="485">
        <f t="shared" si="19"/>
        <v>8758</v>
      </c>
      <c r="G139" s="485">
        <f t="shared" si="20"/>
        <v>11663</v>
      </c>
      <c r="H139" s="613">
        <f t="shared" si="21"/>
        <v>7067.4025598499775</v>
      </c>
      <c r="I139" s="614">
        <f t="shared" si="22"/>
        <v>7067.4025598499775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6">
        <f>IF(F139+SUM(E$99:E139)=D$92,F139,D$92-SUM(E$99:E139))</f>
        <v>8758</v>
      </c>
      <c r="E140" s="484">
        <f t="shared" si="18"/>
        <v>5810</v>
      </c>
      <c r="F140" s="485">
        <f t="shared" si="19"/>
        <v>2948</v>
      </c>
      <c r="G140" s="485">
        <f t="shared" si="20"/>
        <v>5853</v>
      </c>
      <c r="H140" s="613">
        <f t="shared" si="21"/>
        <v>6441.0192217098447</v>
      </c>
      <c r="I140" s="614">
        <f t="shared" si="22"/>
        <v>6441.0192217098447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6">
        <f>IF(F140+SUM(E$99:E140)=D$92,F140,D$92-SUM(E$99:E140))</f>
        <v>2948</v>
      </c>
      <c r="E141" s="484">
        <f t="shared" si="18"/>
        <v>2948</v>
      </c>
      <c r="F141" s="485">
        <f t="shared" si="19"/>
        <v>0</v>
      </c>
      <c r="G141" s="485">
        <f t="shared" si="20"/>
        <v>1474</v>
      </c>
      <c r="H141" s="613">
        <f t="shared" si="21"/>
        <v>3106.9137763198892</v>
      </c>
      <c r="I141" s="614">
        <f t="shared" si="22"/>
        <v>3106.9137763198892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613">
        <f t="shared" si="21"/>
        <v>0</v>
      </c>
      <c r="I142" s="614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613">
        <f t="shared" si="21"/>
        <v>0</v>
      </c>
      <c r="I143" s="614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613">
        <f t="shared" si="21"/>
        <v>0</v>
      </c>
      <c r="I144" s="614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613">
        <f t="shared" si="21"/>
        <v>0</v>
      </c>
      <c r="I145" s="614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613">
        <f t="shared" si="21"/>
        <v>0</v>
      </c>
      <c r="I146" s="614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613">
        <f t="shared" si="21"/>
        <v>0</v>
      </c>
      <c r="I147" s="614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613">
        <f t="shared" si="21"/>
        <v>0</v>
      </c>
      <c r="I148" s="614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613">
        <f t="shared" si="21"/>
        <v>0</v>
      </c>
      <c r="I149" s="614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613">
        <f t="shared" si="21"/>
        <v>0</v>
      </c>
      <c r="I150" s="614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613">
        <f t="shared" si="21"/>
        <v>0</v>
      </c>
      <c r="I151" s="614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613">
        <f t="shared" si="21"/>
        <v>0</v>
      </c>
      <c r="I152" s="614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613">
        <f t="shared" si="21"/>
        <v>0</v>
      </c>
      <c r="I153" s="614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491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5">
        <f t="shared" si="21"/>
        <v>0</v>
      </c>
      <c r="I154" s="616">
        <f t="shared" si="22"/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6" t="s">
        <v>77</v>
      </c>
      <c r="D155" s="347"/>
      <c r="E155" s="347">
        <f>SUM(E99:E154)</f>
        <v>244000</v>
      </c>
      <c r="F155" s="347"/>
      <c r="G155" s="347"/>
      <c r="H155" s="347">
        <f>SUM(H99:H154)</f>
        <v>796659.39646087738</v>
      </c>
      <c r="I155" s="347">
        <f>SUM(I99:I154)</f>
        <v>796659.39646087738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21" priority="1" stopIfTrue="1" operator="equal">
      <formula>$I$10</formula>
    </cfRule>
  </conditionalFormatting>
  <conditionalFormatting sqref="C99:C154">
    <cfRule type="cellIs" dxfId="2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>
      <selection activeCell="F16" sqref="F1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23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138269.97206377087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138269.97206377087</v>
      </c>
      <c r="O6" s="232"/>
      <c r="P6" s="232"/>
    </row>
    <row r="7" spans="1:16" ht="13.5" thickBot="1">
      <c r="C7" s="431" t="s">
        <v>46</v>
      </c>
      <c r="D7" s="599" t="s">
        <v>303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304</v>
      </c>
      <c r="E9" s="577" t="s">
        <v>305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1165593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27752.214285714286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2018</v>
      </c>
      <c r="D17" s="584">
        <v>0</v>
      </c>
      <c r="E17" s="608">
        <v>19755.555555555555</v>
      </c>
      <c r="F17" s="584">
        <v>1758244.4444444445</v>
      </c>
      <c r="G17" s="608">
        <v>125038.30164155026</v>
      </c>
      <c r="H17" s="587">
        <v>125038.30164155026</v>
      </c>
      <c r="I17" s="475">
        <f>H17-G17</f>
        <v>0</v>
      </c>
      <c r="J17" s="475"/>
      <c r="K17" s="554">
        <f>+G17</f>
        <v>125038.30164155026</v>
      </c>
      <c r="L17" s="477">
        <f t="shared" ref="L17:L72" si="0">IF(K17&lt;&gt;0,+G17-K17,0)</f>
        <v>0</v>
      </c>
      <c r="M17" s="554">
        <f>+H17</f>
        <v>125038.30164155026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2019</v>
      </c>
      <c r="D18" s="584">
        <v>2017244.4444444445</v>
      </c>
      <c r="E18" s="585">
        <v>50925</v>
      </c>
      <c r="F18" s="584">
        <v>1966319.4444444445</v>
      </c>
      <c r="G18" s="585">
        <v>273320.66219595348</v>
      </c>
      <c r="H18" s="587">
        <v>273320.66219595348</v>
      </c>
      <c r="I18" s="475">
        <f>H18-G18</f>
        <v>0</v>
      </c>
      <c r="J18" s="475"/>
      <c r="K18" s="478">
        <f>+G18</f>
        <v>273320.66219595348</v>
      </c>
      <c r="L18" s="478">
        <f t="shared" si="0"/>
        <v>0</v>
      </c>
      <c r="M18" s="478">
        <f>+H18</f>
        <v>273320.66219595348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2020</v>
      </c>
      <c r="D19" s="584">
        <v>1141057.3333333333</v>
      </c>
      <c r="E19" s="585">
        <v>28579.142857142859</v>
      </c>
      <c r="F19" s="584">
        <v>1112478.1904761903</v>
      </c>
      <c r="G19" s="585">
        <v>150275.44361099388</v>
      </c>
      <c r="H19" s="587">
        <v>150275.44361099388</v>
      </c>
      <c r="I19" s="475">
        <f t="shared" ref="I19:I71" si="3">H19-G19</f>
        <v>0</v>
      </c>
      <c r="J19" s="475"/>
      <c r="K19" s="478">
        <f>+G19</f>
        <v>150275.44361099388</v>
      </c>
      <c r="L19" s="478">
        <f t="shared" ref="L19" si="4">IF(K19&lt;&gt;0,+G19-K19,0)</f>
        <v>0</v>
      </c>
      <c r="M19" s="478">
        <f>+H19</f>
        <v>150275.44361099388</v>
      </c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1076920.3015873015</v>
      </c>
      <c r="E20" s="585">
        <v>27353.023255813954</v>
      </c>
      <c r="F20" s="584">
        <v>1049567.2783314877</v>
      </c>
      <c r="G20" s="585">
        <v>141993.72505975311</v>
      </c>
      <c r="H20" s="587">
        <v>141993.72505975311</v>
      </c>
      <c r="I20" s="475">
        <f t="shared" si="3"/>
        <v>0</v>
      </c>
      <c r="J20" s="475"/>
      <c r="K20" s="478">
        <f>+G20</f>
        <v>141993.72505975311</v>
      </c>
      <c r="L20" s="478">
        <f t="shared" ref="L20" si="6">IF(K20&lt;&gt;0,+G20-K20,0)</f>
        <v>0</v>
      </c>
      <c r="M20" s="478">
        <f>+H20</f>
        <v>141993.72505975311</v>
      </c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5"/>
        <v>IU</v>
      </c>
      <c r="C21" s="472">
        <f>IF(D11="","-",+C20+1)</f>
        <v>2022</v>
      </c>
      <c r="D21" s="483">
        <f>IF(F20+SUM(E$17:E20)=D$10,F20,D$10-SUM(E$17:E20))</f>
        <v>1038980.2783314877</v>
      </c>
      <c r="E21" s="484">
        <f t="shared" ref="E21:E71" si="7">IF(+I$14&lt;F20,I$14,D21)</f>
        <v>27752.214285714286</v>
      </c>
      <c r="F21" s="485">
        <f t="shared" ref="F21:F71" si="8">+D21-E21</f>
        <v>1011228.0640457734</v>
      </c>
      <c r="G21" s="486">
        <f t="shared" ref="G21:G71" si="9">(D21+F21)/2*I$12+E21</f>
        <v>138269.97206377087</v>
      </c>
      <c r="H21" s="455">
        <f t="shared" ref="H21:H71" si="10">+(D21+F21)/2*I$13+E21</f>
        <v>138269.97206377087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1011228.0640457734</v>
      </c>
      <c r="E22" s="484">
        <f t="shared" si="7"/>
        <v>27752.214285714286</v>
      </c>
      <c r="F22" s="485">
        <f t="shared" si="8"/>
        <v>983475.84976005903</v>
      </c>
      <c r="G22" s="486">
        <f t="shared" si="9"/>
        <v>135277.97126771821</v>
      </c>
      <c r="H22" s="455">
        <f t="shared" si="10"/>
        <v>135277.97126771821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983475.84976005903</v>
      </c>
      <c r="E23" s="484">
        <f t="shared" si="7"/>
        <v>27752.214285714286</v>
      </c>
      <c r="F23" s="485">
        <f t="shared" si="8"/>
        <v>955723.63547434472</v>
      </c>
      <c r="G23" s="486">
        <f t="shared" si="9"/>
        <v>132285.97047166553</v>
      </c>
      <c r="H23" s="455">
        <f t="shared" si="10"/>
        <v>132285.97047166553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955723.63547434472</v>
      </c>
      <c r="E24" s="484">
        <f t="shared" si="7"/>
        <v>27752.214285714286</v>
      </c>
      <c r="F24" s="485">
        <f t="shared" si="8"/>
        <v>927971.4211886304</v>
      </c>
      <c r="G24" s="486">
        <f t="shared" si="9"/>
        <v>129293.96967561287</v>
      </c>
      <c r="H24" s="455">
        <f t="shared" si="10"/>
        <v>129293.96967561287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927971.4211886304</v>
      </c>
      <c r="E25" s="484">
        <f t="shared" si="7"/>
        <v>27752.214285714286</v>
      </c>
      <c r="F25" s="485">
        <f t="shared" si="8"/>
        <v>900219.20690291608</v>
      </c>
      <c r="G25" s="486">
        <f t="shared" si="9"/>
        <v>126301.9688795602</v>
      </c>
      <c r="H25" s="455">
        <f t="shared" si="10"/>
        <v>126301.9688795602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900219.20690291608</v>
      </c>
      <c r="E26" s="484">
        <f t="shared" si="7"/>
        <v>27752.214285714286</v>
      </c>
      <c r="F26" s="485">
        <f t="shared" si="8"/>
        <v>872466.99261720176</v>
      </c>
      <c r="G26" s="486">
        <f t="shared" si="9"/>
        <v>123309.96808350753</v>
      </c>
      <c r="H26" s="455">
        <f t="shared" si="10"/>
        <v>123309.96808350753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872466.99261720176</v>
      </c>
      <c r="E27" s="484">
        <f t="shared" si="7"/>
        <v>27752.214285714286</v>
      </c>
      <c r="F27" s="485">
        <f t="shared" si="8"/>
        <v>844714.77833148744</v>
      </c>
      <c r="G27" s="486">
        <f t="shared" si="9"/>
        <v>120317.96728745486</v>
      </c>
      <c r="H27" s="455">
        <f t="shared" si="10"/>
        <v>120317.96728745486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844714.77833148744</v>
      </c>
      <c r="E28" s="484">
        <f t="shared" si="7"/>
        <v>27752.214285714286</v>
      </c>
      <c r="F28" s="485">
        <f t="shared" si="8"/>
        <v>816962.56404577312</v>
      </c>
      <c r="G28" s="486">
        <f t="shared" si="9"/>
        <v>117325.96649140219</v>
      </c>
      <c r="H28" s="455">
        <f t="shared" si="10"/>
        <v>117325.96649140219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816962.56404577312</v>
      </c>
      <c r="E29" s="484">
        <f t="shared" si="7"/>
        <v>27752.214285714286</v>
      </c>
      <c r="F29" s="485">
        <f t="shared" si="8"/>
        <v>789210.3497600588</v>
      </c>
      <c r="G29" s="486">
        <f t="shared" si="9"/>
        <v>114333.96569534951</v>
      </c>
      <c r="H29" s="455">
        <f t="shared" si="10"/>
        <v>114333.96569534951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789210.3497600588</v>
      </c>
      <c r="E30" s="484">
        <f t="shared" si="7"/>
        <v>27752.214285714286</v>
      </c>
      <c r="F30" s="485">
        <f t="shared" si="8"/>
        <v>761458.13547434448</v>
      </c>
      <c r="G30" s="486">
        <f t="shared" si="9"/>
        <v>111341.96489929684</v>
      </c>
      <c r="H30" s="455">
        <f t="shared" si="10"/>
        <v>111341.96489929684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761458.13547434448</v>
      </c>
      <c r="E31" s="484">
        <f t="shared" si="7"/>
        <v>27752.214285714286</v>
      </c>
      <c r="F31" s="485">
        <f t="shared" si="8"/>
        <v>733705.92118863016</v>
      </c>
      <c r="G31" s="486">
        <f t="shared" si="9"/>
        <v>108349.96410324416</v>
      </c>
      <c r="H31" s="455">
        <f t="shared" si="10"/>
        <v>108349.96410324416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733705.92118863016</v>
      </c>
      <c r="E32" s="484">
        <f t="shared" si="7"/>
        <v>27752.214285714286</v>
      </c>
      <c r="F32" s="485">
        <f t="shared" si="8"/>
        <v>705953.70690291584</v>
      </c>
      <c r="G32" s="486">
        <f t="shared" si="9"/>
        <v>105357.96330719149</v>
      </c>
      <c r="H32" s="455">
        <f t="shared" si="10"/>
        <v>105357.96330719149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705953.70690291584</v>
      </c>
      <c r="E33" s="484">
        <f t="shared" si="7"/>
        <v>27752.214285714286</v>
      </c>
      <c r="F33" s="485">
        <f t="shared" si="8"/>
        <v>678201.49261720153</v>
      </c>
      <c r="G33" s="486">
        <f t="shared" si="9"/>
        <v>102365.96251113882</v>
      </c>
      <c r="H33" s="455">
        <f t="shared" si="10"/>
        <v>102365.96251113882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678201.49261720153</v>
      </c>
      <c r="E34" s="484">
        <f t="shared" si="7"/>
        <v>27752.214285714286</v>
      </c>
      <c r="F34" s="485">
        <f t="shared" si="8"/>
        <v>650449.27833148721</v>
      </c>
      <c r="G34" s="486">
        <f t="shared" si="9"/>
        <v>99373.961715086145</v>
      </c>
      <c r="H34" s="455">
        <f t="shared" si="10"/>
        <v>99373.961715086145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650449.27833148721</v>
      </c>
      <c r="E35" s="484">
        <f t="shared" si="7"/>
        <v>27752.214285714286</v>
      </c>
      <c r="F35" s="485">
        <f t="shared" si="8"/>
        <v>622697.06404577289</v>
      </c>
      <c r="G35" s="486">
        <f t="shared" si="9"/>
        <v>96381.960919033474</v>
      </c>
      <c r="H35" s="455">
        <f t="shared" si="10"/>
        <v>96381.960919033474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622697.06404577289</v>
      </c>
      <c r="E36" s="484">
        <f t="shared" si="7"/>
        <v>27752.214285714286</v>
      </c>
      <c r="F36" s="485">
        <f t="shared" si="8"/>
        <v>594944.84976005857</v>
      </c>
      <c r="G36" s="486">
        <f t="shared" si="9"/>
        <v>93389.960122980803</v>
      </c>
      <c r="H36" s="455">
        <f t="shared" si="10"/>
        <v>93389.960122980803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594944.84976005857</v>
      </c>
      <c r="E37" s="484">
        <f t="shared" si="7"/>
        <v>27752.214285714286</v>
      </c>
      <c r="F37" s="485">
        <f t="shared" si="8"/>
        <v>567192.63547434425</v>
      </c>
      <c r="G37" s="486">
        <f t="shared" si="9"/>
        <v>90397.959326928132</v>
      </c>
      <c r="H37" s="455">
        <f t="shared" si="10"/>
        <v>90397.959326928132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567192.63547434425</v>
      </c>
      <c r="E38" s="484">
        <f t="shared" si="7"/>
        <v>27752.214285714286</v>
      </c>
      <c r="F38" s="485">
        <f t="shared" si="8"/>
        <v>539440.42118862993</v>
      </c>
      <c r="G38" s="486">
        <f t="shared" si="9"/>
        <v>87405.958530875461</v>
      </c>
      <c r="H38" s="455">
        <f t="shared" si="10"/>
        <v>87405.958530875461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539440.42118862993</v>
      </c>
      <c r="E39" s="484">
        <f t="shared" si="7"/>
        <v>27752.214285714286</v>
      </c>
      <c r="F39" s="485">
        <f t="shared" si="8"/>
        <v>511688.20690291567</v>
      </c>
      <c r="G39" s="486">
        <f t="shared" si="9"/>
        <v>84413.95773482279</v>
      </c>
      <c r="H39" s="455">
        <f t="shared" si="10"/>
        <v>84413.95773482279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511688.20690291567</v>
      </c>
      <c r="E40" s="484">
        <f t="shared" si="7"/>
        <v>27752.214285714286</v>
      </c>
      <c r="F40" s="485">
        <f t="shared" si="8"/>
        <v>483935.99261720141</v>
      </c>
      <c r="G40" s="486">
        <f t="shared" si="9"/>
        <v>81421.956938770119</v>
      </c>
      <c r="H40" s="455">
        <f t="shared" si="10"/>
        <v>81421.956938770119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483935.99261720141</v>
      </c>
      <c r="E41" s="484">
        <f t="shared" si="7"/>
        <v>27752.214285714286</v>
      </c>
      <c r="F41" s="485">
        <f t="shared" si="8"/>
        <v>456183.77833148715</v>
      </c>
      <c r="G41" s="486">
        <f t="shared" si="9"/>
        <v>78429.956142717449</v>
      </c>
      <c r="H41" s="455">
        <f t="shared" si="10"/>
        <v>78429.956142717449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456183.77833148715</v>
      </c>
      <c r="E42" s="484">
        <f t="shared" si="7"/>
        <v>27752.214285714286</v>
      </c>
      <c r="F42" s="485">
        <f t="shared" si="8"/>
        <v>428431.56404577289</v>
      </c>
      <c r="G42" s="486">
        <f t="shared" si="9"/>
        <v>75437.955346664792</v>
      </c>
      <c r="H42" s="455">
        <f t="shared" si="10"/>
        <v>75437.955346664792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428431.56404577289</v>
      </c>
      <c r="E43" s="484">
        <f t="shared" si="7"/>
        <v>27752.214285714286</v>
      </c>
      <c r="F43" s="485">
        <f t="shared" si="8"/>
        <v>400679.34976005863</v>
      </c>
      <c r="G43" s="486">
        <f t="shared" si="9"/>
        <v>72445.954550612121</v>
      </c>
      <c r="H43" s="455">
        <f t="shared" si="10"/>
        <v>72445.954550612121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400679.34976005863</v>
      </c>
      <c r="E44" s="484">
        <f t="shared" si="7"/>
        <v>27752.214285714286</v>
      </c>
      <c r="F44" s="485">
        <f t="shared" si="8"/>
        <v>372927.13547434437</v>
      </c>
      <c r="G44" s="486">
        <f t="shared" si="9"/>
        <v>69453.953754559465</v>
      </c>
      <c r="H44" s="455">
        <f t="shared" si="10"/>
        <v>69453.953754559465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372927.13547434437</v>
      </c>
      <c r="E45" s="484">
        <f t="shared" si="7"/>
        <v>27752.214285714286</v>
      </c>
      <c r="F45" s="485">
        <f t="shared" si="8"/>
        <v>345174.92118863011</v>
      </c>
      <c r="G45" s="486">
        <f t="shared" si="9"/>
        <v>66461.952958506794</v>
      </c>
      <c r="H45" s="455">
        <f t="shared" si="10"/>
        <v>66461.952958506794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345174.92118863011</v>
      </c>
      <c r="E46" s="484">
        <f t="shared" si="7"/>
        <v>27752.214285714286</v>
      </c>
      <c r="F46" s="485">
        <f t="shared" si="8"/>
        <v>317422.70690291584</v>
      </c>
      <c r="G46" s="486">
        <f t="shared" si="9"/>
        <v>63469.952162454138</v>
      </c>
      <c r="H46" s="455">
        <f t="shared" si="10"/>
        <v>63469.952162454138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317422.70690291584</v>
      </c>
      <c r="E47" s="484">
        <f t="shared" si="7"/>
        <v>27752.214285714286</v>
      </c>
      <c r="F47" s="485">
        <f t="shared" si="8"/>
        <v>289670.49261720158</v>
      </c>
      <c r="G47" s="486">
        <f t="shared" si="9"/>
        <v>60477.951366401459</v>
      </c>
      <c r="H47" s="455">
        <f t="shared" si="10"/>
        <v>60477.951366401459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289670.49261720158</v>
      </c>
      <c r="E48" s="484">
        <f t="shared" si="7"/>
        <v>27752.214285714286</v>
      </c>
      <c r="F48" s="485">
        <f t="shared" si="8"/>
        <v>261918.27833148729</v>
      </c>
      <c r="G48" s="486">
        <f t="shared" si="9"/>
        <v>57485.950570348796</v>
      </c>
      <c r="H48" s="455">
        <f t="shared" si="10"/>
        <v>57485.950570348796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261918.27833148729</v>
      </c>
      <c r="E49" s="484">
        <f t="shared" si="7"/>
        <v>27752.214285714286</v>
      </c>
      <c r="F49" s="485">
        <f t="shared" si="8"/>
        <v>234166.064045773</v>
      </c>
      <c r="G49" s="486">
        <f t="shared" si="9"/>
        <v>54493.949774296125</v>
      </c>
      <c r="H49" s="455">
        <f t="shared" si="10"/>
        <v>54493.949774296125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234166.064045773</v>
      </c>
      <c r="E50" s="484">
        <f t="shared" si="7"/>
        <v>27752.214285714286</v>
      </c>
      <c r="F50" s="485">
        <f t="shared" si="8"/>
        <v>206413.84976005871</v>
      </c>
      <c r="G50" s="486">
        <f t="shared" si="9"/>
        <v>51501.948978243454</v>
      </c>
      <c r="H50" s="455">
        <f t="shared" si="10"/>
        <v>51501.948978243454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206413.84976005871</v>
      </c>
      <c r="E51" s="484">
        <f t="shared" si="7"/>
        <v>27752.214285714286</v>
      </c>
      <c r="F51" s="485">
        <f t="shared" si="8"/>
        <v>178661.63547434442</v>
      </c>
      <c r="G51" s="486">
        <f t="shared" si="9"/>
        <v>48509.94818219079</v>
      </c>
      <c r="H51" s="455">
        <f t="shared" si="10"/>
        <v>48509.94818219079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178661.63547434442</v>
      </c>
      <c r="E52" s="484">
        <f t="shared" si="7"/>
        <v>27752.214285714286</v>
      </c>
      <c r="F52" s="485">
        <f t="shared" si="8"/>
        <v>150909.42118863013</v>
      </c>
      <c r="G52" s="486">
        <f t="shared" si="9"/>
        <v>45517.947386138119</v>
      </c>
      <c r="H52" s="455">
        <f t="shared" si="10"/>
        <v>45517.947386138119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150909.42118863013</v>
      </c>
      <c r="E53" s="484">
        <f t="shared" si="7"/>
        <v>27752.214285714286</v>
      </c>
      <c r="F53" s="485">
        <f t="shared" si="8"/>
        <v>123157.20690291584</v>
      </c>
      <c r="G53" s="486">
        <f t="shared" si="9"/>
        <v>42525.946590085456</v>
      </c>
      <c r="H53" s="455">
        <f t="shared" si="10"/>
        <v>42525.946590085456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123157.20690291584</v>
      </c>
      <c r="E54" s="484">
        <f t="shared" si="7"/>
        <v>27752.214285714286</v>
      </c>
      <c r="F54" s="485">
        <f t="shared" si="8"/>
        <v>95404.992617201555</v>
      </c>
      <c r="G54" s="486">
        <f t="shared" si="9"/>
        <v>39533.945794032785</v>
      </c>
      <c r="H54" s="455">
        <f t="shared" si="10"/>
        <v>39533.945794032785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95404.992617201555</v>
      </c>
      <c r="E55" s="484">
        <f t="shared" si="7"/>
        <v>27752.214285714286</v>
      </c>
      <c r="F55" s="485">
        <f t="shared" si="8"/>
        <v>67652.778331487265</v>
      </c>
      <c r="G55" s="486">
        <f t="shared" si="9"/>
        <v>36541.944997980114</v>
      </c>
      <c r="H55" s="455">
        <f t="shared" si="10"/>
        <v>36541.944997980114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67652.778331487265</v>
      </c>
      <c r="E56" s="484">
        <f t="shared" si="7"/>
        <v>27752.214285714286</v>
      </c>
      <c r="F56" s="485">
        <f t="shared" si="8"/>
        <v>39900.564045772975</v>
      </c>
      <c r="G56" s="486">
        <f t="shared" si="9"/>
        <v>33549.944201927443</v>
      </c>
      <c r="H56" s="455">
        <f t="shared" si="10"/>
        <v>33549.944201927443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39900.564045772975</v>
      </c>
      <c r="E57" s="484">
        <f t="shared" si="7"/>
        <v>27752.214285714286</v>
      </c>
      <c r="F57" s="485">
        <f t="shared" si="8"/>
        <v>12148.349760058689</v>
      </c>
      <c r="G57" s="486">
        <f t="shared" si="9"/>
        <v>30557.943405874776</v>
      </c>
      <c r="H57" s="455">
        <f t="shared" si="10"/>
        <v>30557.943405874776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12148.349760058689</v>
      </c>
      <c r="E58" s="484">
        <f t="shared" si="7"/>
        <v>12148.349760058689</v>
      </c>
      <c r="F58" s="485">
        <f t="shared" si="8"/>
        <v>0</v>
      </c>
      <c r="G58" s="486">
        <f t="shared" si="9"/>
        <v>12803.214121125768</v>
      </c>
      <c r="H58" s="455">
        <f t="shared" si="10"/>
        <v>12803.214121125768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7"/>
        <v>0</v>
      </c>
      <c r="F59" s="485">
        <f t="shared" si="8"/>
        <v>0</v>
      </c>
      <c r="G59" s="486">
        <f t="shared" si="9"/>
        <v>0</v>
      </c>
      <c r="H59" s="455">
        <f t="shared" si="10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1165593.0000000002</v>
      </c>
      <c r="F73" s="347"/>
      <c r="G73" s="347">
        <f>SUM(G17:G72)</f>
        <v>3826747.782817821</v>
      </c>
      <c r="H73" s="347">
        <f>SUM(H17:H72)</f>
        <v>3826747.782817821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23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150275.44361099388</v>
      </c>
      <c r="N87" s="508">
        <f>IF(J92&lt;D11,0,VLOOKUP(J92,C17:O72,11))</f>
        <v>150275.44361099388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154242.74183680658</v>
      </c>
      <c r="N88" s="512">
        <f>IF(J92&lt;D11,0,VLOOKUP(J92,C99:P154,7))</f>
        <v>154242.74183680658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Elk City 138KV Move Load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3967.2982258127013</v>
      </c>
      <c r="N89" s="517">
        <f>+N88-N87</f>
        <v>3967.2982258127013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TP2011110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1165593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27752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20674.5</v>
      </c>
      <c r="F99" s="584">
        <v>1757325.5</v>
      </c>
      <c r="G99" s="608">
        <v>878662.75</v>
      </c>
      <c r="H99" s="587">
        <v>110944.41567094853</v>
      </c>
      <c r="I99" s="607">
        <v>110944.41567094853</v>
      </c>
      <c r="J99" s="478">
        <f>+I99-H99</f>
        <v>0</v>
      </c>
      <c r="K99" s="478"/>
      <c r="L99" s="477">
        <f>+H99</f>
        <v>110944.41567094853</v>
      </c>
      <c r="M99" s="477">
        <f t="shared" ref="M99" si="11">IF(L99&lt;&gt;0,+H99-L99,0)</f>
        <v>0</v>
      </c>
      <c r="N99" s="477">
        <f>+I99</f>
        <v>110944.41567094853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78">
        <v>1155505.5</v>
      </c>
      <c r="E100" s="579">
        <v>28687</v>
      </c>
      <c r="F100" s="578">
        <v>1126818.5</v>
      </c>
      <c r="G100" s="579">
        <v>1141162</v>
      </c>
      <c r="H100" s="602">
        <v>146356.80823022424</v>
      </c>
      <c r="I100" s="578">
        <v>146356.80823022424</v>
      </c>
      <c r="J100" s="478">
        <f t="shared" ref="J100:J130" si="14">+I100-H100</f>
        <v>0</v>
      </c>
      <c r="K100" s="478"/>
      <c r="L100" s="476">
        <f>H100</f>
        <v>146356.80823022424</v>
      </c>
      <c r="M100" s="348">
        <f>IF(L100&lt;&gt;0,+H100-L100,0)</f>
        <v>0</v>
      </c>
      <c r="N100" s="476">
        <f>I100</f>
        <v>146356.80823022424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>IU</v>
      </c>
      <c r="C101" s="472">
        <f>IF(D93="","-",+C100+1)</f>
        <v>2020</v>
      </c>
      <c r="D101" s="578">
        <v>1116231.5</v>
      </c>
      <c r="E101" s="579">
        <v>27107</v>
      </c>
      <c r="F101" s="578">
        <v>1089124.5</v>
      </c>
      <c r="G101" s="579">
        <v>1102678</v>
      </c>
      <c r="H101" s="602">
        <v>154242.74183680658</v>
      </c>
      <c r="I101" s="578">
        <v>154242.74183680658</v>
      </c>
      <c r="J101" s="478">
        <f t="shared" si="14"/>
        <v>0</v>
      </c>
      <c r="K101" s="478"/>
      <c r="L101" s="476">
        <f>H101</f>
        <v>154242.74183680658</v>
      </c>
      <c r="M101" s="348">
        <f>IF(L101&lt;&gt;0,+H101-L101,0)</f>
        <v>0</v>
      </c>
      <c r="N101" s="476">
        <f>I101</f>
        <v>154242.74183680658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6">
        <f>IF(F101+SUM(E$99:E101)=D$92,F101,D$92-SUM(E$99:E101))</f>
        <v>1089124.5</v>
      </c>
      <c r="E102" s="484">
        <f t="shared" ref="E102:E154" si="18">IF(+J$96&lt;F101,J$96,D102)</f>
        <v>27752</v>
      </c>
      <c r="F102" s="485">
        <f t="shared" ref="F102:F154" si="19">+D102-E102</f>
        <v>1061372.5</v>
      </c>
      <c r="G102" s="485">
        <f t="shared" ref="G102:G154" si="20">+(F102+D102)/2</f>
        <v>1075248.5</v>
      </c>
      <c r="H102" s="613">
        <f t="shared" ref="H102:H154" si="21">+J$94*G102+E102</f>
        <v>143675.88033737883</v>
      </c>
      <c r="I102" s="614">
        <f t="shared" ref="I102:I154" si="22">+J$95*G102+E102</f>
        <v>143675.88033737883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6">
        <f>IF(F102+SUM(E$99:E102)=D$92,F102,D$92-SUM(E$99:E102))</f>
        <v>1061372.5</v>
      </c>
      <c r="E103" s="484">
        <f t="shared" si="18"/>
        <v>27752</v>
      </c>
      <c r="F103" s="485">
        <f t="shared" si="19"/>
        <v>1033620.5</v>
      </c>
      <c r="G103" s="485">
        <f t="shared" si="20"/>
        <v>1047496.5</v>
      </c>
      <c r="H103" s="613">
        <f t="shared" si="21"/>
        <v>140683.90264373596</v>
      </c>
      <c r="I103" s="614">
        <f t="shared" si="22"/>
        <v>140683.90264373596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6">
        <f>IF(F103+SUM(E$99:E103)=D$92,F103,D$92-SUM(E$99:E103))</f>
        <v>1033620.5</v>
      </c>
      <c r="E104" s="484">
        <f t="shared" si="18"/>
        <v>27752</v>
      </c>
      <c r="F104" s="485">
        <f t="shared" si="19"/>
        <v>1005868.5</v>
      </c>
      <c r="G104" s="485">
        <f t="shared" si="20"/>
        <v>1019744.5</v>
      </c>
      <c r="H104" s="613">
        <f t="shared" si="21"/>
        <v>137691.92495009309</v>
      </c>
      <c r="I104" s="614">
        <f t="shared" si="22"/>
        <v>137691.92495009309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6">
        <f>IF(F104+SUM(E$99:E104)=D$92,F104,D$92-SUM(E$99:E104))</f>
        <v>1005868.5</v>
      </c>
      <c r="E105" s="484">
        <f t="shared" si="18"/>
        <v>27752</v>
      </c>
      <c r="F105" s="485">
        <f t="shared" si="19"/>
        <v>978116.5</v>
      </c>
      <c r="G105" s="485">
        <f t="shared" si="20"/>
        <v>991992.5</v>
      </c>
      <c r="H105" s="613">
        <f t="shared" si="21"/>
        <v>134699.94725645025</v>
      </c>
      <c r="I105" s="614">
        <f t="shared" si="22"/>
        <v>134699.94725645025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6">
        <f>IF(F105+SUM(E$99:E105)=D$92,F105,D$92-SUM(E$99:E105))</f>
        <v>978116.5</v>
      </c>
      <c r="E106" s="484">
        <f t="shared" si="18"/>
        <v>27752</v>
      </c>
      <c r="F106" s="485">
        <f t="shared" si="19"/>
        <v>950364.5</v>
      </c>
      <c r="G106" s="485">
        <f t="shared" si="20"/>
        <v>964240.5</v>
      </c>
      <c r="H106" s="613">
        <f t="shared" si="21"/>
        <v>131707.96956280741</v>
      </c>
      <c r="I106" s="614">
        <f t="shared" si="22"/>
        <v>131707.96956280741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6">
        <f>IF(F106+SUM(E$99:E106)=D$92,F106,D$92-SUM(E$99:E106))</f>
        <v>950364.5</v>
      </c>
      <c r="E107" s="484">
        <f t="shared" si="18"/>
        <v>27752</v>
      </c>
      <c r="F107" s="485">
        <f t="shared" si="19"/>
        <v>922612.5</v>
      </c>
      <c r="G107" s="485">
        <f t="shared" si="20"/>
        <v>936488.5</v>
      </c>
      <c r="H107" s="613">
        <f t="shared" si="21"/>
        <v>128715.99186916454</v>
      </c>
      <c r="I107" s="614">
        <f t="shared" si="22"/>
        <v>128715.99186916454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6">
        <f>IF(F107+SUM(E$99:E107)=D$92,F107,D$92-SUM(E$99:E107))</f>
        <v>922612.5</v>
      </c>
      <c r="E108" s="484">
        <f t="shared" si="18"/>
        <v>27752</v>
      </c>
      <c r="F108" s="485">
        <f t="shared" si="19"/>
        <v>894860.5</v>
      </c>
      <c r="G108" s="485">
        <f t="shared" si="20"/>
        <v>908736.5</v>
      </c>
      <c r="H108" s="613">
        <f t="shared" si="21"/>
        <v>125724.01417552169</v>
      </c>
      <c r="I108" s="614">
        <f t="shared" si="22"/>
        <v>125724.01417552169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6">
        <f>IF(F108+SUM(E$99:E108)=D$92,F108,D$92-SUM(E$99:E108))</f>
        <v>894860.5</v>
      </c>
      <c r="E109" s="484">
        <f t="shared" si="18"/>
        <v>27752</v>
      </c>
      <c r="F109" s="485">
        <f t="shared" si="19"/>
        <v>867108.5</v>
      </c>
      <c r="G109" s="485">
        <f t="shared" si="20"/>
        <v>880984.5</v>
      </c>
      <c r="H109" s="613">
        <f t="shared" si="21"/>
        <v>122732.03648187884</v>
      </c>
      <c r="I109" s="614">
        <f t="shared" si="22"/>
        <v>122732.03648187884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6">
        <f>IF(F109+SUM(E$99:E109)=D$92,F109,D$92-SUM(E$99:E109))</f>
        <v>867108.5</v>
      </c>
      <c r="E110" s="484">
        <f t="shared" si="18"/>
        <v>27752</v>
      </c>
      <c r="F110" s="485">
        <f t="shared" si="19"/>
        <v>839356.5</v>
      </c>
      <c r="G110" s="485">
        <f t="shared" si="20"/>
        <v>853232.5</v>
      </c>
      <c r="H110" s="613">
        <f t="shared" si="21"/>
        <v>119740.05878823598</v>
      </c>
      <c r="I110" s="614">
        <f t="shared" si="22"/>
        <v>119740.05878823598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6">
        <f>IF(F110+SUM(E$99:E110)=D$92,F110,D$92-SUM(E$99:E110))</f>
        <v>839356.5</v>
      </c>
      <c r="E111" s="484">
        <f t="shared" si="18"/>
        <v>27752</v>
      </c>
      <c r="F111" s="485">
        <f t="shared" si="19"/>
        <v>811604.5</v>
      </c>
      <c r="G111" s="485">
        <f t="shared" si="20"/>
        <v>825480.5</v>
      </c>
      <c r="H111" s="613">
        <f t="shared" si="21"/>
        <v>116748.08109459313</v>
      </c>
      <c r="I111" s="614">
        <f t="shared" si="22"/>
        <v>116748.08109459313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6">
        <f>IF(F111+SUM(E$99:E111)=D$92,F111,D$92-SUM(E$99:E111))</f>
        <v>811604.5</v>
      </c>
      <c r="E112" s="484">
        <f t="shared" si="18"/>
        <v>27752</v>
      </c>
      <c r="F112" s="485">
        <f t="shared" si="19"/>
        <v>783852.5</v>
      </c>
      <c r="G112" s="485">
        <f t="shared" si="20"/>
        <v>797728.5</v>
      </c>
      <c r="H112" s="613">
        <f t="shared" si="21"/>
        <v>113756.10340095029</v>
      </c>
      <c r="I112" s="614">
        <f t="shared" si="22"/>
        <v>113756.10340095029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6">
        <f>IF(F112+SUM(E$99:E112)=D$92,F112,D$92-SUM(E$99:E112))</f>
        <v>783852.5</v>
      </c>
      <c r="E113" s="484">
        <f t="shared" si="18"/>
        <v>27752</v>
      </c>
      <c r="F113" s="485">
        <f t="shared" si="19"/>
        <v>756100.5</v>
      </c>
      <c r="G113" s="485">
        <f t="shared" si="20"/>
        <v>769976.5</v>
      </c>
      <c r="H113" s="613">
        <f t="shared" si="21"/>
        <v>110764.12570730744</v>
      </c>
      <c r="I113" s="614">
        <f t="shared" si="22"/>
        <v>110764.12570730744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6">
        <f>IF(F113+SUM(E$99:E113)=D$92,F113,D$92-SUM(E$99:E113))</f>
        <v>756100.5</v>
      </c>
      <c r="E114" s="484">
        <f t="shared" si="18"/>
        <v>27752</v>
      </c>
      <c r="F114" s="485">
        <f t="shared" si="19"/>
        <v>728348.5</v>
      </c>
      <c r="G114" s="485">
        <f t="shared" si="20"/>
        <v>742224.5</v>
      </c>
      <c r="H114" s="613">
        <f t="shared" si="21"/>
        <v>107772.14801366458</v>
      </c>
      <c r="I114" s="614">
        <f t="shared" si="22"/>
        <v>107772.14801366458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6">
        <f>IF(F114+SUM(E$99:E114)=D$92,F114,D$92-SUM(E$99:E114))</f>
        <v>728348.5</v>
      </c>
      <c r="E115" s="484">
        <f t="shared" si="18"/>
        <v>27752</v>
      </c>
      <c r="F115" s="485">
        <f t="shared" si="19"/>
        <v>700596.5</v>
      </c>
      <c r="G115" s="485">
        <f t="shared" si="20"/>
        <v>714472.5</v>
      </c>
      <c r="H115" s="613">
        <f t="shared" si="21"/>
        <v>104780.17032002173</v>
      </c>
      <c r="I115" s="614">
        <f t="shared" si="22"/>
        <v>104780.17032002173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6">
        <f>IF(F115+SUM(E$99:E115)=D$92,F115,D$92-SUM(E$99:E115))</f>
        <v>700596.5</v>
      </c>
      <c r="E116" s="484">
        <f t="shared" si="18"/>
        <v>27752</v>
      </c>
      <c r="F116" s="485">
        <f t="shared" si="19"/>
        <v>672844.5</v>
      </c>
      <c r="G116" s="485">
        <f t="shared" si="20"/>
        <v>686720.5</v>
      </c>
      <c r="H116" s="613">
        <f t="shared" si="21"/>
        <v>101788.19262637888</v>
      </c>
      <c r="I116" s="614">
        <f t="shared" si="22"/>
        <v>101788.19262637888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6">
        <f>IF(F116+SUM(E$99:E116)=D$92,F116,D$92-SUM(E$99:E116))</f>
        <v>672844.5</v>
      </c>
      <c r="E117" s="484">
        <f t="shared" si="18"/>
        <v>27752</v>
      </c>
      <c r="F117" s="485">
        <f t="shared" si="19"/>
        <v>645092.5</v>
      </c>
      <c r="G117" s="485">
        <f t="shared" si="20"/>
        <v>658968.5</v>
      </c>
      <c r="H117" s="613">
        <f t="shared" si="21"/>
        <v>98796.214932736024</v>
      </c>
      <c r="I117" s="614">
        <f t="shared" si="22"/>
        <v>98796.214932736024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6">
        <f>IF(F117+SUM(E$99:E117)=D$92,F117,D$92-SUM(E$99:E117))</f>
        <v>645092.5</v>
      </c>
      <c r="E118" s="484">
        <f t="shared" si="18"/>
        <v>27752</v>
      </c>
      <c r="F118" s="485">
        <f t="shared" si="19"/>
        <v>617340.5</v>
      </c>
      <c r="G118" s="485">
        <f t="shared" si="20"/>
        <v>631216.5</v>
      </c>
      <c r="H118" s="613">
        <f t="shared" si="21"/>
        <v>95804.237239093171</v>
      </c>
      <c r="I118" s="614">
        <f t="shared" si="22"/>
        <v>95804.237239093171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6">
        <f>IF(F118+SUM(E$99:E118)=D$92,F118,D$92-SUM(E$99:E118))</f>
        <v>617340.5</v>
      </c>
      <c r="E119" s="484">
        <f t="shared" si="18"/>
        <v>27752</v>
      </c>
      <c r="F119" s="485">
        <f t="shared" si="19"/>
        <v>589588.5</v>
      </c>
      <c r="G119" s="485">
        <f t="shared" si="20"/>
        <v>603464.5</v>
      </c>
      <c r="H119" s="613">
        <f t="shared" si="21"/>
        <v>92812.259545450317</v>
      </c>
      <c r="I119" s="614">
        <f t="shared" si="22"/>
        <v>92812.259545450317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6">
        <f>IF(F119+SUM(E$99:E119)=D$92,F119,D$92-SUM(E$99:E119))</f>
        <v>589588.5</v>
      </c>
      <c r="E120" s="484">
        <f t="shared" si="18"/>
        <v>27752</v>
      </c>
      <c r="F120" s="485">
        <f t="shared" si="19"/>
        <v>561836.5</v>
      </c>
      <c r="G120" s="485">
        <f t="shared" si="20"/>
        <v>575712.5</v>
      </c>
      <c r="H120" s="613">
        <f t="shared" si="21"/>
        <v>89820.281851807464</v>
      </c>
      <c r="I120" s="614">
        <f t="shared" si="22"/>
        <v>89820.281851807464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6">
        <f>IF(F120+SUM(E$99:E120)=D$92,F120,D$92-SUM(E$99:E120))</f>
        <v>561836.5</v>
      </c>
      <c r="E121" s="484">
        <f t="shared" si="18"/>
        <v>27752</v>
      </c>
      <c r="F121" s="485">
        <f t="shared" si="19"/>
        <v>534084.5</v>
      </c>
      <c r="G121" s="485">
        <f t="shared" si="20"/>
        <v>547960.5</v>
      </c>
      <c r="H121" s="613">
        <f t="shared" si="21"/>
        <v>86828.30415816461</v>
      </c>
      <c r="I121" s="614">
        <f t="shared" si="22"/>
        <v>86828.30415816461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6">
        <f>IF(F121+SUM(E$99:E121)=D$92,F121,D$92-SUM(E$99:E121))</f>
        <v>534084.5</v>
      </c>
      <c r="E122" s="484">
        <f t="shared" si="18"/>
        <v>27752</v>
      </c>
      <c r="F122" s="485">
        <f t="shared" si="19"/>
        <v>506332.5</v>
      </c>
      <c r="G122" s="485">
        <f t="shared" si="20"/>
        <v>520208.5</v>
      </c>
      <c r="H122" s="613">
        <f t="shared" si="21"/>
        <v>83836.326464521757</v>
      </c>
      <c r="I122" s="614">
        <f t="shared" si="22"/>
        <v>83836.326464521757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6">
        <f>IF(F122+SUM(E$99:E122)=D$92,F122,D$92-SUM(E$99:E122))</f>
        <v>506332.5</v>
      </c>
      <c r="E123" s="484">
        <f t="shared" si="18"/>
        <v>27752</v>
      </c>
      <c r="F123" s="485">
        <f t="shared" si="19"/>
        <v>478580.5</v>
      </c>
      <c r="G123" s="485">
        <f t="shared" si="20"/>
        <v>492456.5</v>
      </c>
      <c r="H123" s="613">
        <f t="shared" si="21"/>
        <v>80844.348770878903</v>
      </c>
      <c r="I123" s="614">
        <f t="shared" si="22"/>
        <v>80844.348770878903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6">
        <f>IF(F123+SUM(E$99:E123)=D$92,F123,D$92-SUM(E$99:E123))</f>
        <v>478580.5</v>
      </c>
      <c r="E124" s="484">
        <f t="shared" si="18"/>
        <v>27752</v>
      </c>
      <c r="F124" s="485">
        <f t="shared" si="19"/>
        <v>450828.5</v>
      </c>
      <c r="G124" s="485">
        <f t="shared" si="20"/>
        <v>464704.5</v>
      </c>
      <c r="H124" s="613">
        <f t="shared" si="21"/>
        <v>77852.37107723605</v>
      </c>
      <c r="I124" s="614">
        <f t="shared" si="22"/>
        <v>77852.37107723605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6">
        <f>IF(F124+SUM(E$99:E124)=D$92,F124,D$92-SUM(E$99:E124))</f>
        <v>450828.5</v>
      </c>
      <c r="E125" s="484">
        <f t="shared" si="18"/>
        <v>27752</v>
      </c>
      <c r="F125" s="485">
        <f t="shared" si="19"/>
        <v>423076.5</v>
      </c>
      <c r="G125" s="485">
        <f t="shared" si="20"/>
        <v>436952.5</v>
      </c>
      <c r="H125" s="613">
        <f t="shared" si="21"/>
        <v>74860.393383593211</v>
      </c>
      <c r="I125" s="614">
        <f t="shared" si="22"/>
        <v>74860.393383593211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6">
        <f>IF(F125+SUM(E$99:E125)=D$92,F125,D$92-SUM(E$99:E125))</f>
        <v>423076.5</v>
      </c>
      <c r="E126" s="484">
        <f t="shared" si="18"/>
        <v>27752</v>
      </c>
      <c r="F126" s="485">
        <f t="shared" si="19"/>
        <v>395324.5</v>
      </c>
      <c r="G126" s="485">
        <f t="shared" si="20"/>
        <v>409200.5</v>
      </c>
      <c r="H126" s="613">
        <f t="shared" si="21"/>
        <v>71868.415689950343</v>
      </c>
      <c r="I126" s="614">
        <f t="shared" si="22"/>
        <v>71868.415689950343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6">
        <f>IF(F126+SUM(E$99:E126)=D$92,F126,D$92-SUM(E$99:E126))</f>
        <v>395324.5</v>
      </c>
      <c r="E127" s="484">
        <f t="shared" si="18"/>
        <v>27752</v>
      </c>
      <c r="F127" s="485">
        <f t="shared" si="19"/>
        <v>367572.5</v>
      </c>
      <c r="G127" s="485">
        <f t="shared" si="20"/>
        <v>381448.5</v>
      </c>
      <c r="H127" s="613">
        <f t="shared" si="21"/>
        <v>68876.437996307504</v>
      </c>
      <c r="I127" s="614">
        <f t="shared" si="22"/>
        <v>68876.437996307504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6">
        <f>IF(F127+SUM(E$99:E127)=D$92,F127,D$92-SUM(E$99:E127))</f>
        <v>367572.5</v>
      </c>
      <c r="E128" s="484">
        <f t="shared" si="18"/>
        <v>27752</v>
      </c>
      <c r="F128" s="485">
        <f t="shared" si="19"/>
        <v>339820.5</v>
      </c>
      <c r="G128" s="485">
        <f t="shared" si="20"/>
        <v>353696.5</v>
      </c>
      <c r="H128" s="613">
        <f t="shared" si="21"/>
        <v>65884.460302664636</v>
      </c>
      <c r="I128" s="614">
        <f t="shared" si="22"/>
        <v>65884.460302664636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6">
        <f>IF(F128+SUM(E$99:E128)=D$92,F128,D$92-SUM(E$99:E128))</f>
        <v>339820.5</v>
      </c>
      <c r="E129" s="484">
        <f t="shared" si="18"/>
        <v>27752</v>
      </c>
      <c r="F129" s="485">
        <f t="shared" si="19"/>
        <v>312068.5</v>
      </c>
      <c r="G129" s="485">
        <f t="shared" si="20"/>
        <v>325944.5</v>
      </c>
      <c r="H129" s="613">
        <f t="shared" si="21"/>
        <v>62892.48260902179</v>
      </c>
      <c r="I129" s="614">
        <f t="shared" si="22"/>
        <v>62892.48260902179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6">
        <f>IF(F129+SUM(E$99:E129)=D$92,F129,D$92-SUM(E$99:E129))</f>
        <v>312068.5</v>
      </c>
      <c r="E130" s="484">
        <f t="shared" si="18"/>
        <v>27752</v>
      </c>
      <c r="F130" s="485">
        <f t="shared" si="19"/>
        <v>284316.5</v>
      </c>
      <c r="G130" s="485">
        <f t="shared" si="20"/>
        <v>298192.5</v>
      </c>
      <c r="H130" s="613">
        <f t="shared" si="21"/>
        <v>59900.504915378937</v>
      </c>
      <c r="I130" s="614">
        <f t="shared" si="22"/>
        <v>59900.504915378937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6">
        <f>IF(F130+SUM(E$99:E130)=D$92,F130,D$92-SUM(E$99:E130))</f>
        <v>284316.5</v>
      </c>
      <c r="E131" s="484">
        <f t="shared" si="18"/>
        <v>27752</v>
      </c>
      <c r="F131" s="485">
        <f t="shared" si="19"/>
        <v>256564.5</v>
      </c>
      <c r="G131" s="485">
        <f t="shared" si="20"/>
        <v>270440.5</v>
      </c>
      <c r="H131" s="613">
        <f t="shared" si="21"/>
        <v>56908.527221736091</v>
      </c>
      <c r="I131" s="614">
        <f t="shared" si="22"/>
        <v>56908.527221736091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6">
        <f>IF(F131+SUM(E$99:E131)=D$92,F131,D$92-SUM(E$99:E131))</f>
        <v>256564.5</v>
      </c>
      <c r="E132" s="484">
        <f t="shared" si="18"/>
        <v>27752</v>
      </c>
      <c r="F132" s="485">
        <f t="shared" si="19"/>
        <v>228812.5</v>
      </c>
      <c r="G132" s="485">
        <f t="shared" si="20"/>
        <v>242688.5</v>
      </c>
      <c r="H132" s="613">
        <f t="shared" si="21"/>
        <v>53916.549528093237</v>
      </c>
      <c r="I132" s="614">
        <f t="shared" si="22"/>
        <v>53916.549528093237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6">
        <f>IF(F132+SUM(E$99:E132)=D$92,F132,D$92-SUM(E$99:E132))</f>
        <v>228812.5</v>
      </c>
      <c r="E133" s="484">
        <f t="shared" si="18"/>
        <v>27752</v>
      </c>
      <c r="F133" s="485">
        <f t="shared" si="19"/>
        <v>201060.5</v>
      </c>
      <c r="G133" s="485">
        <f t="shared" si="20"/>
        <v>214936.5</v>
      </c>
      <c r="H133" s="613">
        <f t="shared" si="21"/>
        <v>50924.571834450384</v>
      </c>
      <c r="I133" s="614">
        <f t="shared" si="22"/>
        <v>50924.571834450384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6">
        <f>IF(F133+SUM(E$99:E133)=D$92,F133,D$92-SUM(E$99:E133))</f>
        <v>201060.5</v>
      </c>
      <c r="E134" s="484">
        <f t="shared" si="18"/>
        <v>27752</v>
      </c>
      <c r="F134" s="485">
        <f t="shared" si="19"/>
        <v>173308.5</v>
      </c>
      <c r="G134" s="485">
        <f t="shared" si="20"/>
        <v>187184.5</v>
      </c>
      <c r="H134" s="613">
        <f t="shared" si="21"/>
        <v>47932.59414080753</v>
      </c>
      <c r="I134" s="614">
        <f t="shared" si="22"/>
        <v>47932.59414080753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6">
        <f>IF(F134+SUM(E$99:E134)=D$92,F134,D$92-SUM(E$99:E134))</f>
        <v>173308.5</v>
      </c>
      <c r="E135" s="484">
        <f t="shared" si="18"/>
        <v>27752</v>
      </c>
      <c r="F135" s="485">
        <f t="shared" si="19"/>
        <v>145556.5</v>
      </c>
      <c r="G135" s="485">
        <f t="shared" si="20"/>
        <v>159432.5</v>
      </c>
      <c r="H135" s="613">
        <f t="shared" si="21"/>
        <v>44940.616447164677</v>
      </c>
      <c r="I135" s="614">
        <f t="shared" si="22"/>
        <v>44940.616447164677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6">
        <f>IF(F135+SUM(E$99:E135)=D$92,F135,D$92-SUM(E$99:E135))</f>
        <v>145556.5</v>
      </c>
      <c r="E136" s="484">
        <f t="shared" si="18"/>
        <v>27752</v>
      </c>
      <c r="F136" s="485">
        <f t="shared" si="19"/>
        <v>117804.5</v>
      </c>
      <c r="G136" s="485">
        <f t="shared" si="20"/>
        <v>131680.5</v>
      </c>
      <c r="H136" s="613">
        <f t="shared" si="21"/>
        <v>41948.638753521824</v>
      </c>
      <c r="I136" s="614">
        <f t="shared" si="22"/>
        <v>41948.638753521824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6">
        <f>IF(F136+SUM(E$99:E136)=D$92,F136,D$92-SUM(E$99:E136))</f>
        <v>117804.5</v>
      </c>
      <c r="E137" s="484">
        <f t="shared" si="18"/>
        <v>27752</v>
      </c>
      <c r="F137" s="485">
        <f t="shared" si="19"/>
        <v>90052.5</v>
      </c>
      <c r="G137" s="485">
        <f t="shared" si="20"/>
        <v>103928.5</v>
      </c>
      <c r="H137" s="613">
        <f t="shared" si="21"/>
        <v>38956.66105987897</v>
      </c>
      <c r="I137" s="614">
        <f t="shared" si="22"/>
        <v>38956.66105987897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6">
        <f>IF(F137+SUM(E$99:E137)=D$92,F137,D$92-SUM(E$99:E137))</f>
        <v>90052.5</v>
      </c>
      <c r="E138" s="484">
        <f t="shared" si="18"/>
        <v>27752</v>
      </c>
      <c r="F138" s="485">
        <f t="shared" si="19"/>
        <v>62300.5</v>
      </c>
      <c r="G138" s="485">
        <f t="shared" si="20"/>
        <v>76176.5</v>
      </c>
      <c r="H138" s="613">
        <f t="shared" si="21"/>
        <v>35964.683366236117</v>
      </c>
      <c r="I138" s="614">
        <f t="shared" si="22"/>
        <v>35964.683366236117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6">
        <f>IF(F138+SUM(E$99:E138)=D$92,F138,D$92-SUM(E$99:E138))</f>
        <v>62300.5</v>
      </c>
      <c r="E139" s="484">
        <f t="shared" si="18"/>
        <v>27752</v>
      </c>
      <c r="F139" s="485">
        <f t="shared" si="19"/>
        <v>34548.5</v>
      </c>
      <c r="G139" s="485">
        <f t="shared" si="20"/>
        <v>48424.5</v>
      </c>
      <c r="H139" s="613">
        <f t="shared" si="21"/>
        <v>32972.705672593263</v>
      </c>
      <c r="I139" s="614">
        <f t="shared" si="22"/>
        <v>32972.705672593263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6">
        <f>IF(F139+SUM(E$99:E139)=D$92,F139,D$92-SUM(E$99:E139))</f>
        <v>34548.5</v>
      </c>
      <c r="E140" s="484">
        <f t="shared" si="18"/>
        <v>27752</v>
      </c>
      <c r="F140" s="485">
        <f t="shared" si="19"/>
        <v>6796.5</v>
      </c>
      <c r="G140" s="485">
        <f t="shared" si="20"/>
        <v>20672.5</v>
      </c>
      <c r="H140" s="613">
        <f t="shared" si="21"/>
        <v>29980.727978950414</v>
      </c>
      <c r="I140" s="614">
        <f t="shared" si="22"/>
        <v>29980.727978950414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6">
        <f>IF(F140+SUM(E$99:E140)=D$92,F140,D$92-SUM(E$99:E140))</f>
        <v>6796.5</v>
      </c>
      <c r="E141" s="484">
        <f t="shared" si="18"/>
        <v>6796.5</v>
      </c>
      <c r="F141" s="485">
        <f t="shared" si="19"/>
        <v>0</v>
      </c>
      <c r="G141" s="485">
        <f t="shared" si="20"/>
        <v>3398.25</v>
      </c>
      <c r="H141" s="613">
        <f t="shared" si="21"/>
        <v>7162.8695660644935</v>
      </c>
      <c r="I141" s="614">
        <f t="shared" si="22"/>
        <v>7162.8695660644935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613">
        <f t="shared" si="21"/>
        <v>0</v>
      </c>
      <c r="I142" s="614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613">
        <f t="shared" si="21"/>
        <v>0</v>
      </c>
      <c r="I143" s="614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613">
        <f t="shared" si="21"/>
        <v>0</v>
      </c>
      <c r="I144" s="614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613">
        <f t="shared" si="21"/>
        <v>0</v>
      </c>
      <c r="I145" s="614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613">
        <f t="shared" si="21"/>
        <v>0</v>
      </c>
      <c r="I146" s="614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613">
        <f t="shared" si="21"/>
        <v>0</v>
      </c>
      <c r="I147" s="614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613">
        <f t="shared" si="21"/>
        <v>0</v>
      </c>
      <c r="I148" s="614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613">
        <f t="shared" si="21"/>
        <v>0</v>
      </c>
      <c r="I149" s="614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613">
        <f t="shared" si="21"/>
        <v>0</v>
      </c>
      <c r="I150" s="614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613">
        <f t="shared" si="21"/>
        <v>0</v>
      </c>
      <c r="I151" s="614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613">
        <f t="shared" si="21"/>
        <v>0</v>
      </c>
      <c r="I152" s="614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613">
        <f t="shared" si="21"/>
        <v>0</v>
      </c>
      <c r="I153" s="614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5">
        <f t="shared" si="21"/>
        <v>0</v>
      </c>
      <c r="I154" s="616">
        <f t="shared" si="22"/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6" t="s">
        <v>77</v>
      </c>
      <c r="D155" s="347"/>
      <c r="E155" s="347">
        <f>SUM(E99:E154)</f>
        <v>1165593</v>
      </c>
      <c r="F155" s="347"/>
      <c r="G155" s="347"/>
      <c r="H155" s="347">
        <f>SUM(H99:H154)</f>
        <v>3805010.6974724634</v>
      </c>
      <c r="I155" s="347">
        <f>SUM(I99:I154)</f>
        <v>3805010.6974724634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9" priority="1" stopIfTrue="1" operator="equal">
      <formula>$I$10</formula>
    </cfRule>
  </conditionalFormatting>
  <conditionalFormatting sqref="C99:C154">
    <cfRule type="cellIs" dxfId="1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>
      <selection activeCell="D20" sqref="D20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24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163793.91335875148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163793.91335875148</v>
      </c>
      <c r="O6" s="232"/>
      <c r="P6" s="232"/>
    </row>
    <row r="7" spans="1:16" ht="13.5" thickBot="1">
      <c r="C7" s="431" t="s">
        <v>46</v>
      </c>
      <c r="D7" s="599" t="s">
        <v>306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307</v>
      </c>
      <c r="E9" s="577" t="s">
        <v>308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1345383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32032.928571428572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2018</v>
      </c>
      <c r="D17" s="584">
        <v>0</v>
      </c>
      <c r="E17" s="608">
        <v>13511.111111111109</v>
      </c>
      <c r="F17" s="584">
        <v>1202488.888888889</v>
      </c>
      <c r="G17" s="608">
        <v>85515.508884209848</v>
      </c>
      <c r="H17" s="587">
        <v>85515.508884209848</v>
      </c>
      <c r="I17" s="475">
        <f>H17-G17</f>
        <v>0</v>
      </c>
      <c r="J17" s="475"/>
      <c r="K17" s="554">
        <f>+G17</f>
        <v>85515.508884209848</v>
      </c>
      <c r="L17" s="477">
        <f t="shared" ref="L17:L72" si="0">IF(K17&lt;&gt;0,+G17-K17,0)</f>
        <v>0</v>
      </c>
      <c r="M17" s="554">
        <f>+H17</f>
        <v>85515.508884209848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2019</v>
      </c>
      <c r="D18" s="584">
        <v>1202488.888888889</v>
      </c>
      <c r="E18" s="585">
        <v>30400</v>
      </c>
      <c r="F18" s="584">
        <v>1172088.888888889</v>
      </c>
      <c r="G18" s="585">
        <v>162968.67771034624</v>
      </c>
      <c r="H18" s="587">
        <v>162968.67771034624</v>
      </c>
      <c r="I18" s="475">
        <f>H18-G18</f>
        <v>0</v>
      </c>
      <c r="J18" s="475"/>
      <c r="K18" s="478">
        <f>+G18</f>
        <v>162968.67771034624</v>
      </c>
      <c r="L18" s="478">
        <f t="shared" si="0"/>
        <v>0</v>
      </c>
      <c r="M18" s="478">
        <f>+H18</f>
        <v>162968.67771034624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2020</v>
      </c>
      <c r="D19" s="584">
        <v>1304405.6666666667</v>
      </c>
      <c r="E19" s="585">
        <v>32022.357142857141</v>
      </c>
      <c r="F19" s="584">
        <v>1272383.3095238097</v>
      </c>
      <c r="G19" s="585">
        <v>171175.11640159666</v>
      </c>
      <c r="H19" s="587">
        <v>171175.11640159666</v>
      </c>
      <c r="I19" s="475">
        <f t="shared" ref="I19:I71" si="3">H19-G19</f>
        <v>0</v>
      </c>
      <c r="J19" s="475"/>
      <c r="K19" s="478">
        <f>+G19</f>
        <v>171175.11640159666</v>
      </c>
      <c r="L19" s="478">
        <f t="shared" ref="L19" si="4">IF(K19&lt;&gt;0,+G19-K19,0)</f>
        <v>0</v>
      </c>
      <c r="M19" s="478">
        <f>+H19</f>
        <v>171175.11640159666</v>
      </c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1269449.5317460317</v>
      </c>
      <c r="E20" s="585">
        <v>31287.976744186046</v>
      </c>
      <c r="F20" s="584">
        <v>1238161.5550018456</v>
      </c>
      <c r="G20" s="585">
        <v>166475.36158990141</v>
      </c>
      <c r="H20" s="587">
        <v>166475.36158990141</v>
      </c>
      <c r="I20" s="475">
        <f t="shared" si="3"/>
        <v>0</v>
      </c>
      <c r="J20" s="475"/>
      <c r="K20" s="478">
        <f>+G20</f>
        <v>166475.36158990141</v>
      </c>
      <c r="L20" s="478">
        <f t="shared" ref="L20" si="6">IF(K20&lt;&gt;0,+G20-K20,0)</f>
        <v>0</v>
      </c>
      <c r="M20" s="478">
        <f>+H20</f>
        <v>166475.36158990141</v>
      </c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1238161.5550018456</v>
      </c>
      <c r="E21" s="484">
        <f t="shared" ref="E21:E71" si="7">IF(+I$14&lt;F20,I$14,D21)</f>
        <v>32032.928571428572</v>
      </c>
      <c r="F21" s="485">
        <f t="shared" ref="F21:F71" si="8">+D21-E21</f>
        <v>1206128.6264304169</v>
      </c>
      <c r="G21" s="486">
        <f t="shared" ref="G21:G71" si="9">(D21+F21)/2*I$12+E21</f>
        <v>163793.91335875148</v>
      </c>
      <c r="H21" s="455">
        <f t="shared" ref="H21:H71" si="10">+(D21+F21)/2*I$13+E21</f>
        <v>163793.91335875148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1206128.6264304169</v>
      </c>
      <c r="E22" s="484">
        <f t="shared" si="7"/>
        <v>32032.928571428572</v>
      </c>
      <c r="F22" s="485">
        <f t="shared" si="8"/>
        <v>1174095.6978589883</v>
      </c>
      <c r="G22" s="486">
        <f t="shared" si="9"/>
        <v>160340.40342261104</v>
      </c>
      <c r="H22" s="455">
        <f t="shared" si="10"/>
        <v>160340.40342261104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1174095.6978589883</v>
      </c>
      <c r="E23" s="484">
        <f t="shared" si="7"/>
        <v>32032.928571428572</v>
      </c>
      <c r="F23" s="485">
        <f t="shared" si="8"/>
        <v>1142062.7692875597</v>
      </c>
      <c r="G23" s="486">
        <f t="shared" si="9"/>
        <v>156886.89348647062</v>
      </c>
      <c r="H23" s="455">
        <f t="shared" si="10"/>
        <v>156886.89348647062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1142062.7692875597</v>
      </c>
      <c r="E24" s="484">
        <f t="shared" si="7"/>
        <v>32032.928571428572</v>
      </c>
      <c r="F24" s="485">
        <f t="shared" si="8"/>
        <v>1110029.840716131</v>
      </c>
      <c r="G24" s="486">
        <f t="shared" si="9"/>
        <v>153433.38355033018</v>
      </c>
      <c r="H24" s="455">
        <f t="shared" si="10"/>
        <v>153433.38355033018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1110029.840716131</v>
      </c>
      <c r="E25" s="484">
        <f t="shared" si="7"/>
        <v>32032.928571428572</v>
      </c>
      <c r="F25" s="485">
        <f t="shared" si="8"/>
        <v>1077996.9121447024</v>
      </c>
      <c r="G25" s="486">
        <f t="shared" si="9"/>
        <v>149979.87361418974</v>
      </c>
      <c r="H25" s="455">
        <f t="shared" si="10"/>
        <v>149979.87361418974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1077996.9121447024</v>
      </c>
      <c r="E26" s="484">
        <f t="shared" si="7"/>
        <v>32032.928571428572</v>
      </c>
      <c r="F26" s="485">
        <f t="shared" si="8"/>
        <v>1045963.9835732739</v>
      </c>
      <c r="G26" s="486">
        <f t="shared" si="9"/>
        <v>146526.36367804933</v>
      </c>
      <c r="H26" s="455">
        <f t="shared" si="10"/>
        <v>146526.36367804933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1045963.9835732739</v>
      </c>
      <c r="E27" s="484">
        <f t="shared" si="7"/>
        <v>32032.928571428572</v>
      </c>
      <c r="F27" s="485">
        <f t="shared" si="8"/>
        <v>1013931.0550018454</v>
      </c>
      <c r="G27" s="486">
        <f t="shared" si="9"/>
        <v>143072.85374190891</v>
      </c>
      <c r="H27" s="455">
        <f t="shared" si="10"/>
        <v>143072.85374190891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1013931.0550018454</v>
      </c>
      <c r="E28" s="484">
        <f t="shared" si="7"/>
        <v>32032.928571428572</v>
      </c>
      <c r="F28" s="485">
        <f t="shared" si="8"/>
        <v>981898.12643041683</v>
      </c>
      <c r="G28" s="486">
        <f t="shared" si="9"/>
        <v>139619.34380576847</v>
      </c>
      <c r="H28" s="455">
        <f t="shared" si="10"/>
        <v>139619.34380576847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981898.12643041683</v>
      </c>
      <c r="E29" s="484">
        <f t="shared" si="7"/>
        <v>32032.928571428572</v>
      </c>
      <c r="F29" s="485">
        <f t="shared" si="8"/>
        <v>949865.19785898831</v>
      </c>
      <c r="G29" s="486">
        <f t="shared" si="9"/>
        <v>136165.83386962806</v>
      </c>
      <c r="H29" s="455">
        <f t="shared" si="10"/>
        <v>136165.83386962806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949865.19785898831</v>
      </c>
      <c r="E30" s="484">
        <f t="shared" si="7"/>
        <v>32032.928571428572</v>
      </c>
      <c r="F30" s="485">
        <f t="shared" si="8"/>
        <v>917832.26928755979</v>
      </c>
      <c r="G30" s="486">
        <f t="shared" si="9"/>
        <v>132712.32393348764</v>
      </c>
      <c r="H30" s="455">
        <f t="shared" si="10"/>
        <v>132712.32393348764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917832.26928755979</v>
      </c>
      <c r="E31" s="484">
        <f t="shared" si="7"/>
        <v>32032.928571428572</v>
      </c>
      <c r="F31" s="485">
        <f t="shared" si="8"/>
        <v>885799.34071613126</v>
      </c>
      <c r="G31" s="486">
        <f t="shared" si="9"/>
        <v>129258.81399734723</v>
      </c>
      <c r="H31" s="455">
        <f t="shared" si="10"/>
        <v>129258.81399734723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885799.34071613126</v>
      </c>
      <c r="E32" s="484">
        <f t="shared" si="7"/>
        <v>32032.928571428572</v>
      </c>
      <c r="F32" s="485">
        <f t="shared" si="8"/>
        <v>853766.41214470274</v>
      </c>
      <c r="G32" s="486">
        <f t="shared" si="9"/>
        <v>125805.30406120679</v>
      </c>
      <c r="H32" s="455">
        <f t="shared" si="10"/>
        <v>125805.30406120679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853766.41214470274</v>
      </c>
      <c r="E33" s="484">
        <f t="shared" si="7"/>
        <v>32032.928571428572</v>
      </c>
      <c r="F33" s="485">
        <f t="shared" si="8"/>
        <v>821733.48357327422</v>
      </c>
      <c r="G33" s="486">
        <f t="shared" si="9"/>
        <v>122351.79412506637</v>
      </c>
      <c r="H33" s="455">
        <f t="shared" si="10"/>
        <v>122351.79412506637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821733.48357327422</v>
      </c>
      <c r="E34" s="484">
        <f t="shared" si="7"/>
        <v>32032.928571428572</v>
      </c>
      <c r="F34" s="485">
        <f t="shared" si="8"/>
        <v>789700.5550018457</v>
      </c>
      <c r="G34" s="486">
        <f t="shared" si="9"/>
        <v>118898.28418892596</v>
      </c>
      <c r="H34" s="455">
        <f t="shared" si="10"/>
        <v>118898.28418892596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789700.5550018457</v>
      </c>
      <c r="E35" s="484">
        <f t="shared" si="7"/>
        <v>32032.928571428572</v>
      </c>
      <c r="F35" s="485">
        <f t="shared" si="8"/>
        <v>757667.62643041718</v>
      </c>
      <c r="G35" s="486">
        <f t="shared" si="9"/>
        <v>115444.77425278554</v>
      </c>
      <c r="H35" s="455">
        <f t="shared" si="10"/>
        <v>115444.77425278554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757667.62643041718</v>
      </c>
      <c r="E36" s="484">
        <f t="shared" si="7"/>
        <v>32032.928571428572</v>
      </c>
      <c r="F36" s="485">
        <f t="shared" si="8"/>
        <v>725634.69785898866</v>
      </c>
      <c r="G36" s="486">
        <f t="shared" si="9"/>
        <v>111991.2643166451</v>
      </c>
      <c r="H36" s="455">
        <f t="shared" si="10"/>
        <v>111991.2643166451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725634.69785898866</v>
      </c>
      <c r="E37" s="484">
        <f t="shared" si="7"/>
        <v>32032.928571428572</v>
      </c>
      <c r="F37" s="485">
        <f t="shared" si="8"/>
        <v>693601.76928756014</v>
      </c>
      <c r="G37" s="486">
        <f t="shared" si="9"/>
        <v>108537.75438050469</v>
      </c>
      <c r="H37" s="455">
        <f t="shared" si="10"/>
        <v>108537.75438050469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693601.76928756014</v>
      </c>
      <c r="E38" s="484">
        <f t="shared" si="7"/>
        <v>32032.928571428572</v>
      </c>
      <c r="F38" s="485">
        <f t="shared" si="8"/>
        <v>661568.84071613161</v>
      </c>
      <c r="G38" s="486">
        <f t="shared" si="9"/>
        <v>105084.24444436427</v>
      </c>
      <c r="H38" s="455">
        <f t="shared" si="10"/>
        <v>105084.24444436427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661568.84071613161</v>
      </c>
      <c r="E39" s="484">
        <f t="shared" si="7"/>
        <v>32032.928571428572</v>
      </c>
      <c r="F39" s="485">
        <f t="shared" si="8"/>
        <v>629535.91214470309</v>
      </c>
      <c r="G39" s="486">
        <f t="shared" si="9"/>
        <v>101630.73450822386</v>
      </c>
      <c r="H39" s="455">
        <f t="shared" si="10"/>
        <v>101630.73450822386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629535.91214470309</v>
      </c>
      <c r="E40" s="484">
        <f t="shared" si="7"/>
        <v>32032.928571428572</v>
      </c>
      <c r="F40" s="485">
        <f t="shared" si="8"/>
        <v>597502.98357327457</v>
      </c>
      <c r="G40" s="486">
        <f t="shared" si="9"/>
        <v>98177.224572083418</v>
      </c>
      <c r="H40" s="455">
        <f t="shared" si="10"/>
        <v>98177.224572083418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597502.98357327457</v>
      </c>
      <c r="E41" s="484">
        <f t="shared" si="7"/>
        <v>32032.928571428572</v>
      </c>
      <c r="F41" s="485">
        <f t="shared" si="8"/>
        <v>565470.05500184605</v>
      </c>
      <c r="G41" s="486">
        <f t="shared" si="9"/>
        <v>94723.714635943019</v>
      </c>
      <c r="H41" s="455">
        <f t="shared" si="10"/>
        <v>94723.714635943019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565470.05500184605</v>
      </c>
      <c r="E42" s="484">
        <f t="shared" si="7"/>
        <v>32032.928571428572</v>
      </c>
      <c r="F42" s="485">
        <f t="shared" si="8"/>
        <v>533437.12643041753</v>
      </c>
      <c r="G42" s="486">
        <f t="shared" si="9"/>
        <v>91270.204699802591</v>
      </c>
      <c r="H42" s="455">
        <f t="shared" si="10"/>
        <v>91270.204699802591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533437.12643041753</v>
      </c>
      <c r="E43" s="484">
        <f t="shared" si="7"/>
        <v>32032.928571428572</v>
      </c>
      <c r="F43" s="485">
        <f t="shared" si="8"/>
        <v>501404.19785898895</v>
      </c>
      <c r="G43" s="486">
        <f t="shared" si="9"/>
        <v>87816.694763662177</v>
      </c>
      <c r="H43" s="455">
        <f t="shared" si="10"/>
        <v>87816.694763662177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501404.19785898895</v>
      </c>
      <c r="E44" s="484">
        <f t="shared" si="7"/>
        <v>32032.928571428572</v>
      </c>
      <c r="F44" s="485">
        <f t="shared" si="8"/>
        <v>469371.26928756037</v>
      </c>
      <c r="G44" s="486">
        <f t="shared" si="9"/>
        <v>84363.184827521749</v>
      </c>
      <c r="H44" s="455">
        <f t="shared" si="10"/>
        <v>84363.184827521749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469371.26928756037</v>
      </c>
      <c r="E45" s="484">
        <f t="shared" si="7"/>
        <v>32032.928571428572</v>
      </c>
      <c r="F45" s="485">
        <f t="shared" si="8"/>
        <v>437338.34071613179</v>
      </c>
      <c r="G45" s="486">
        <f t="shared" si="9"/>
        <v>80909.674891381321</v>
      </c>
      <c r="H45" s="455">
        <f t="shared" si="10"/>
        <v>80909.674891381321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437338.34071613179</v>
      </c>
      <c r="E46" s="484">
        <f t="shared" si="7"/>
        <v>32032.928571428572</v>
      </c>
      <c r="F46" s="485">
        <f t="shared" si="8"/>
        <v>405305.41214470321</v>
      </c>
      <c r="G46" s="486">
        <f t="shared" si="9"/>
        <v>77456.164955240893</v>
      </c>
      <c r="H46" s="455">
        <f t="shared" si="10"/>
        <v>77456.164955240893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405305.41214470321</v>
      </c>
      <c r="E47" s="484">
        <f t="shared" si="7"/>
        <v>32032.928571428572</v>
      </c>
      <c r="F47" s="485">
        <f t="shared" si="8"/>
        <v>373272.48357327463</v>
      </c>
      <c r="G47" s="486">
        <f t="shared" si="9"/>
        <v>74002.655019100464</v>
      </c>
      <c r="H47" s="455">
        <f t="shared" si="10"/>
        <v>74002.655019100464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373272.48357327463</v>
      </c>
      <c r="E48" s="484">
        <f t="shared" si="7"/>
        <v>32032.928571428572</v>
      </c>
      <c r="F48" s="485">
        <f t="shared" si="8"/>
        <v>341239.55500184605</v>
      </c>
      <c r="G48" s="486">
        <f t="shared" si="9"/>
        <v>70549.145082960051</v>
      </c>
      <c r="H48" s="455">
        <f t="shared" si="10"/>
        <v>70549.145082960051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341239.55500184605</v>
      </c>
      <c r="E49" s="484">
        <f t="shared" si="7"/>
        <v>32032.928571428572</v>
      </c>
      <c r="F49" s="485">
        <f t="shared" si="8"/>
        <v>309206.62643041747</v>
      </c>
      <c r="G49" s="486">
        <f t="shared" si="9"/>
        <v>67095.635146819608</v>
      </c>
      <c r="H49" s="455">
        <f t="shared" si="10"/>
        <v>67095.635146819608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309206.62643041747</v>
      </c>
      <c r="E50" s="484">
        <f t="shared" si="7"/>
        <v>32032.928571428572</v>
      </c>
      <c r="F50" s="485">
        <f t="shared" si="8"/>
        <v>277173.69785898889</v>
      </c>
      <c r="G50" s="486">
        <f t="shared" si="9"/>
        <v>63642.125210679187</v>
      </c>
      <c r="H50" s="455">
        <f t="shared" si="10"/>
        <v>63642.125210679187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277173.69785898889</v>
      </c>
      <c r="E51" s="484">
        <f t="shared" si="7"/>
        <v>32032.928571428572</v>
      </c>
      <c r="F51" s="485">
        <f t="shared" si="8"/>
        <v>245140.76928756031</v>
      </c>
      <c r="G51" s="486">
        <f t="shared" si="9"/>
        <v>60188.615274538759</v>
      </c>
      <c r="H51" s="455">
        <f t="shared" si="10"/>
        <v>60188.615274538759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245140.76928756031</v>
      </c>
      <c r="E52" s="484">
        <f t="shared" si="7"/>
        <v>32032.928571428572</v>
      </c>
      <c r="F52" s="485">
        <f t="shared" si="8"/>
        <v>213107.84071613173</v>
      </c>
      <c r="G52" s="486">
        <f t="shared" si="9"/>
        <v>56735.105338398331</v>
      </c>
      <c r="H52" s="455">
        <f t="shared" si="10"/>
        <v>56735.105338398331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213107.84071613173</v>
      </c>
      <c r="E53" s="484">
        <f t="shared" si="7"/>
        <v>32032.928571428572</v>
      </c>
      <c r="F53" s="485">
        <f t="shared" si="8"/>
        <v>181074.91214470315</v>
      </c>
      <c r="G53" s="486">
        <f t="shared" si="9"/>
        <v>53281.59540225791</v>
      </c>
      <c r="H53" s="455">
        <f t="shared" si="10"/>
        <v>53281.59540225791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181074.91214470315</v>
      </c>
      <c r="E54" s="484">
        <f t="shared" si="7"/>
        <v>32032.928571428572</v>
      </c>
      <c r="F54" s="485">
        <f t="shared" si="8"/>
        <v>149041.98357327457</v>
      </c>
      <c r="G54" s="486">
        <f t="shared" si="9"/>
        <v>49828.085466117482</v>
      </c>
      <c r="H54" s="455">
        <f t="shared" si="10"/>
        <v>49828.085466117482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149041.98357327457</v>
      </c>
      <c r="E55" s="484">
        <f t="shared" si="7"/>
        <v>32032.928571428572</v>
      </c>
      <c r="F55" s="485">
        <f t="shared" si="8"/>
        <v>117009.05500184599</v>
      </c>
      <c r="G55" s="486">
        <f t="shared" si="9"/>
        <v>46374.575529977054</v>
      </c>
      <c r="H55" s="455">
        <f t="shared" si="10"/>
        <v>46374.575529977054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117009.05500184599</v>
      </c>
      <c r="E56" s="484">
        <f t="shared" si="7"/>
        <v>32032.928571428572</v>
      </c>
      <c r="F56" s="485">
        <f t="shared" si="8"/>
        <v>84976.126430417411</v>
      </c>
      <c r="G56" s="486">
        <f t="shared" si="9"/>
        <v>42921.065593836625</v>
      </c>
      <c r="H56" s="455">
        <f t="shared" si="10"/>
        <v>42921.065593836625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84976.126430417411</v>
      </c>
      <c r="E57" s="484">
        <f t="shared" si="7"/>
        <v>32032.928571428572</v>
      </c>
      <c r="F57" s="485">
        <f t="shared" si="8"/>
        <v>52943.197858988839</v>
      </c>
      <c r="G57" s="486">
        <f t="shared" si="9"/>
        <v>39467.555657696197</v>
      </c>
      <c r="H57" s="455">
        <f t="shared" si="10"/>
        <v>39467.555657696197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52943.197858988839</v>
      </c>
      <c r="E58" s="484">
        <f t="shared" si="7"/>
        <v>32032.928571428572</v>
      </c>
      <c r="F58" s="485">
        <f t="shared" si="8"/>
        <v>20910.269287560266</v>
      </c>
      <c r="G58" s="486">
        <f t="shared" si="9"/>
        <v>36014.045721555776</v>
      </c>
      <c r="H58" s="455">
        <f t="shared" si="10"/>
        <v>36014.045721555776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20910.269287560266</v>
      </c>
      <c r="E59" s="484">
        <f t="shared" si="7"/>
        <v>20910.269287560266</v>
      </c>
      <c r="F59" s="485">
        <f t="shared" si="8"/>
        <v>0</v>
      </c>
      <c r="G59" s="486">
        <f t="shared" si="9"/>
        <v>22037.450378588761</v>
      </c>
      <c r="H59" s="455">
        <f t="shared" si="10"/>
        <v>22037.450378588761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1345383.0000000002</v>
      </c>
      <c r="F73" s="347"/>
      <c r="G73" s="347">
        <f>SUM(G17:G72)</f>
        <v>4404523.3374904804</v>
      </c>
      <c r="H73" s="347">
        <f>SUM(H17:H72)</f>
        <v>4404523.3374904804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24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171175.11640159666</v>
      </c>
      <c r="N87" s="508">
        <f>IF(J92&lt;D11,0,VLOOKUP(J92,C17:O72,11))</f>
        <v>171175.11640159666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179056.99193510308</v>
      </c>
      <c r="N88" s="512">
        <f>IF(J92&lt;D11,0,VLOOKUP(J92,C99:P154,7))</f>
        <v>179056.99193510308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Duncan-Comanche Tap 69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7881.8755335064197</v>
      </c>
      <c r="N89" s="517">
        <f>+N88-N87</f>
        <v>7881.8755335064197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TP2015191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1345383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5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32033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15290</v>
      </c>
      <c r="F99" s="584">
        <v>1299649</v>
      </c>
      <c r="G99" s="608">
        <v>649824.5</v>
      </c>
      <c r="H99" s="587">
        <v>82050.088345518569</v>
      </c>
      <c r="I99" s="607">
        <v>82050.088345518569</v>
      </c>
      <c r="J99" s="478">
        <f>+I99-H99</f>
        <v>0</v>
      </c>
      <c r="K99" s="478"/>
      <c r="L99" s="477">
        <f>+H99</f>
        <v>82050.088345518569</v>
      </c>
      <c r="M99" s="477">
        <f t="shared" ref="M99" si="11">IF(L99&lt;&gt;0,+H99-L99,0)</f>
        <v>0</v>
      </c>
      <c r="N99" s="477">
        <f>+I99</f>
        <v>82050.088345518569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78">
        <v>1330093</v>
      </c>
      <c r="E100" s="579">
        <v>32814</v>
      </c>
      <c r="F100" s="578">
        <v>1297279</v>
      </c>
      <c r="G100" s="579">
        <v>1313686</v>
      </c>
      <c r="H100" s="602">
        <v>168273.45246575892</v>
      </c>
      <c r="I100" s="578">
        <v>168273.45246575892</v>
      </c>
      <c r="J100" s="478">
        <f t="shared" ref="J100:J130" si="14">+I100-H100</f>
        <v>0</v>
      </c>
      <c r="K100" s="478"/>
      <c r="L100" s="476">
        <f>H100</f>
        <v>168273.45246575892</v>
      </c>
      <c r="M100" s="348">
        <f>IF(L100&lt;&gt;0,+H100-L100,0)</f>
        <v>0</v>
      </c>
      <c r="N100" s="476">
        <f>I100</f>
        <v>168273.45246575892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78">
        <v>1297279</v>
      </c>
      <c r="E101" s="579">
        <v>31288</v>
      </c>
      <c r="F101" s="578">
        <v>1265991</v>
      </c>
      <c r="G101" s="579">
        <v>1281635</v>
      </c>
      <c r="H101" s="602">
        <v>179056.99193510308</v>
      </c>
      <c r="I101" s="578">
        <v>179056.99193510308</v>
      </c>
      <c r="J101" s="478">
        <f t="shared" si="14"/>
        <v>0</v>
      </c>
      <c r="K101" s="478"/>
      <c r="L101" s="476">
        <f>H101</f>
        <v>179056.99193510308</v>
      </c>
      <c r="M101" s="348">
        <f>IF(L101&lt;&gt;0,+H101-L101,0)</f>
        <v>0</v>
      </c>
      <c r="N101" s="476">
        <f>I101</f>
        <v>179056.99193510308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6">
        <f>IF(F101+SUM(E$99:E101)=D$92,F101,D$92-SUM(E$99:E101))</f>
        <v>1265991</v>
      </c>
      <c r="E102" s="484">
        <f t="shared" ref="E102:E154" si="18">IF(+J$96&lt;F101,J$96,D102)</f>
        <v>32033</v>
      </c>
      <c r="F102" s="485">
        <f t="shared" ref="F102:F154" si="19">+D102-E102</f>
        <v>1233958</v>
      </c>
      <c r="G102" s="485">
        <f t="shared" ref="G102:G154" si="20">+(F102+D102)/2</f>
        <v>1249974.5</v>
      </c>
      <c r="H102" s="613">
        <f t="shared" ref="H102:H154" si="21">+J$94*G102+E102</f>
        <v>166794.3080722967</v>
      </c>
      <c r="I102" s="614">
        <f t="shared" ref="I102:I154" si="22">+J$95*G102+E102</f>
        <v>166794.3080722967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6">
        <f>IF(F102+SUM(E$99:E102)=D$92,F102,D$92-SUM(E$99:E102))</f>
        <v>1233958</v>
      </c>
      <c r="E103" s="484">
        <f t="shared" si="18"/>
        <v>32033</v>
      </c>
      <c r="F103" s="485">
        <f t="shared" si="19"/>
        <v>1201925</v>
      </c>
      <c r="G103" s="485">
        <f t="shared" si="20"/>
        <v>1217941.5</v>
      </c>
      <c r="H103" s="613">
        <f t="shared" si="21"/>
        <v>163340.790435353</v>
      </c>
      <c r="I103" s="614">
        <f t="shared" si="22"/>
        <v>163340.790435353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6">
        <f>IF(F103+SUM(E$99:E103)=D$92,F103,D$92-SUM(E$99:E103))</f>
        <v>1201925</v>
      </c>
      <c r="E104" s="484">
        <f t="shared" si="18"/>
        <v>32033</v>
      </c>
      <c r="F104" s="485">
        <f t="shared" si="19"/>
        <v>1169892</v>
      </c>
      <c r="G104" s="485">
        <f t="shared" si="20"/>
        <v>1185908.5</v>
      </c>
      <c r="H104" s="613">
        <f t="shared" si="21"/>
        <v>159887.27279840928</v>
      </c>
      <c r="I104" s="614">
        <f t="shared" si="22"/>
        <v>159887.27279840928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6">
        <f>IF(F104+SUM(E$99:E104)=D$92,F104,D$92-SUM(E$99:E104))</f>
        <v>1169892</v>
      </c>
      <c r="E105" s="484">
        <f t="shared" si="18"/>
        <v>32033</v>
      </c>
      <c r="F105" s="485">
        <f t="shared" si="19"/>
        <v>1137859</v>
      </c>
      <c r="G105" s="485">
        <f t="shared" si="20"/>
        <v>1153875.5</v>
      </c>
      <c r="H105" s="613">
        <f t="shared" si="21"/>
        <v>156433.75516146561</v>
      </c>
      <c r="I105" s="614">
        <f t="shared" si="22"/>
        <v>156433.75516146561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6">
        <f>IF(F105+SUM(E$99:E105)=D$92,F105,D$92-SUM(E$99:E105))</f>
        <v>1137859</v>
      </c>
      <c r="E106" s="484">
        <f t="shared" si="18"/>
        <v>32033</v>
      </c>
      <c r="F106" s="485">
        <f t="shared" si="19"/>
        <v>1105826</v>
      </c>
      <c r="G106" s="485">
        <f t="shared" si="20"/>
        <v>1121842.5</v>
      </c>
      <c r="H106" s="613">
        <f t="shared" si="21"/>
        <v>152980.23752452189</v>
      </c>
      <c r="I106" s="614">
        <f t="shared" si="22"/>
        <v>152980.23752452189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6">
        <f>IF(F106+SUM(E$99:E106)=D$92,F106,D$92-SUM(E$99:E106))</f>
        <v>1105826</v>
      </c>
      <c r="E107" s="484">
        <f t="shared" si="18"/>
        <v>32033</v>
      </c>
      <c r="F107" s="485">
        <f t="shared" si="19"/>
        <v>1073793</v>
      </c>
      <c r="G107" s="485">
        <f t="shared" si="20"/>
        <v>1089809.5</v>
      </c>
      <c r="H107" s="613">
        <f t="shared" si="21"/>
        <v>149526.71988757822</v>
      </c>
      <c r="I107" s="614">
        <f t="shared" si="22"/>
        <v>149526.71988757822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6">
        <f>IF(F107+SUM(E$99:E107)=D$92,F107,D$92-SUM(E$99:E107))</f>
        <v>1073793</v>
      </c>
      <c r="E108" s="484">
        <f t="shared" si="18"/>
        <v>32033</v>
      </c>
      <c r="F108" s="485">
        <f t="shared" si="19"/>
        <v>1041760</v>
      </c>
      <c r="G108" s="485">
        <f t="shared" si="20"/>
        <v>1057776.5</v>
      </c>
      <c r="H108" s="613">
        <f t="shared" si="21"/>
        <v>146073.20225063449</v>
      </c>
      <c r="I108" s="614">
        <f t="shared" si="22"/>
        <v>146073.20225063449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6">
        <f>IF(F108+SUM(E$99:E108)=D$92,F108,D$92-SUM(E$99:E108))</f>
        <v>1041760</v>
      </c>
      <c r="E109" s="484">
        <f t="shared" si="18"/>
        <v>32033</v>
      </c>
      <c r="F109" s="485">
        <f t="shared" si="19"/>
        <v>1009727</v>
      </c>
      <c r="G109" s="485">
        <f t="shared" si="20"/>
        <v>1025743.5</v>
      </c>
      <c r="H109" s="613">
        <f t="shared" si="21"/>
        <v>142619.68461369083</v>
      </c>
      <c r="I109" s="614">
        <f t="shared" si="22"/>
        <v>142619.68461369083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6">
        <f>IF(F109+SUM(E$99:E109)=D$92,F109,D$92-SUM(E$99:E109))</f>
        <v>1009727</v>
      </c>
      <c r="E110" s="484">
        <f t="shared" si="18"/>
        <v>32033</v>
      </c>
      <c r="F110" s="485">
        <f t="shared" si="19"/>
        <v>977694</v>
      </c>
      <c r="G110" s="485">
        <f t="shared" si="20"/>
        <v>993710.5</v>
      </c>
      <c r="H110" s="613">
        <f t="shared" si="21"/>
        <v>139166.1669767471</v>
      </c>
      <c r="I110" s="614">
        <f t="shared" si="22"/>
        <v>139166.1669767471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6">
        <f>IF(F110+SUM(E$99:E110)=D$92,F110,D$92-SUM(E$99:E110))</f>
        <v>977694</v>
      </c>
      <c r="E111" s="484">
        <f t="shared" si="18"/>
        <v>32033</v>
      </c>
      <c r="F111" s="485">
        <f t="shared" si="19"/>
        <v>945661</v>
      </c>
      <c r="G111" s="485">
        <f t="shared" si="20"/>
        <v>961677.5</v>
      </c>
      <c r="H111" s="613">
        <f t="shared" si="21"/>
        <v>135712.64933980341</v>
      </c>
      <c r="I111" s="614">
        <f t="shared" si="22"/>
        <v>135712.64933980341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6">
        <f>IF(F111+SUM(E$99:E111)=D$92,F111,D$92-SUM(E$99:E111))</f>
        <v>945661</v>
      </c>
      <c r="E112" s="484">
        <f t="shared" si="18"/>
        <v>32033</v>
      </c>
      <c r="F112" s="485">
        <f t="shared" si="19"/>
        <v>913628</v>
      </c>
      <c r="G112" s="485">
        <f t="shared" si="20"/>
        <v>929644.5</v>
      </c>
      <c r="H112" s="613">
        <f t="shared" si="21"/>
        <v>132259.13170285971</v>
      </c>
      <c r="I112" s="614">
        <f t="shared" si="22"/>
        <v>132259.13170285971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6">
        <f>IF(F112+SUM(E$99:E112)=D$92,F112,D$92-SUM(E$99:E112))</f>
        <v>913628</v>
      </c>
      <c r="E113" s="484">
        <f t="shared" si="18"/>
        <v>32033</v>
      </c>
      <c r="F113" s="485">
        <f t="shared" si="19"/>
        <v>881595</v>
      </c>
      <c r="G113" s="485">
        <f t="shared" si="20"/>
        <v>897611.5</v>
      </c>
      <c r="H113" s="613">
        <f t="shared" si="21"/>
        <v>128805.61406591602</v>
      </c>
      <c r="I113" s="614">
        <f t="shared" si="22"/>
        <v>128805.61406591602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6">
        <f>IF(F113+SUM(E$99:E113)=D$92,F113,D$92-SUM(E$99:E113))</f>
        <v>881595</v>
      </c>
      <c r="E114" s="484">
        <f t="shared" si="18"/>
        <v>32033</v>
      </c>
      <c r="F114" s="485">
        <f t="shared" si="19"/>
        <v>849562</v>
      </c>
      <c r="G114" s="485">
        <f t="shared" si="20"/>
        <v>865578.5</v>
      </c>
      <c r="H114" s="613">
        <f t="shared" si="21"/>
        <v>125352.09642897232</v>
      </c>
      <c r="I114" s="614">
        <f t="shared" si="22"/>
        <v>125352.09642897232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6">
        <f>IF(F114+SUM(E$99:E114)=D$92,F114,D$92-SUM(E$99:E114))</f>
        <v>849562</v>
      </c>
      <c r="E115" s="484">
        <f t="shared" si="18"/>
        <v>32033</v>
      </c>
      <c r="F115" s="485">
        <f t="shared" si="19"/>
        <v>817529</v>
      </c>
      <c r="G115" s="485">
        <f t="shared" si="20"/>
        <v>833545.5</v>
      </c>
      <c r="H115" s="613">
        <f t="shared" si="21"/>
        <v>121898.57879202862</v>
      </c>
      <c r="I115" s="614">
        <f t="shared" si="22"/>
        <v>121898.57879202862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6">
        <f>IF(F115+SUM(E$99:E115)=D$92,F115,D$92-SUM(E$99:E115))</f>
        <v>817529</v>
      </c>
      <c r="E116" s="484">
        <f t="shared" si="18"/>
        <v>32033</v>
      </c>
      <c r="F116" s="485">
        <f t="shared" si="19"/>
        <v>785496</v>
      </c>
      <c r="G116" s="485">
        <f t="shared" si="20"/>
        <v>801512.5</v>
      </c>
      <c r="H116" s="613">
        <f t="shared" si="21"/>
        <v>118445.06115508493</v>
      </c>
      <c r="I116" s="614">
        <f t="shared" si="22"/>
        <v>118445.06115508493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6">
        <f>IF(F116+SUM(E$99:E116)=D$92,F116,D$92-SUM(E$99:E116))</f>
        <v>785496</v>
      </c>
      <c r="E117" s="484">
        <f t="shared" si="18"/>
        <v>32033</v>
      </c>
      <c r="F117" s="485">
        <f t="shared" si="19"/>
        <v>753463</v>
      </c>
      <c r="G117" s="485">
        <f t="shared" si="20"/>
        <v>769479.5</v>
      </c>
      <c r="H117" s="613">
        <f t="shared" si="21"/>
        <v>114991.54351814123</v>
      </c>
      <c r="I117" s="614">
        <f t="shared" si="22"/>
        <v>114991.54351814123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6">
        <f>IF(F117+SUM(E$99:E117)=D$92,F117,D$92-SUM(E$99:E117))</f>
        <v>753463</v>
      </c>
      <c r="E118" s="484">
        <f t="shared" si="18"/>
        <v>32033</v>
      </c>
      <c r="F118" s="485">
        <f t="shared" si="19"/>
        <v>721430</v>
      </c>
      <c r="G118" s="485">
        <f t="shared" si="20"/>
        <v>737446.5</v>
      </c>
      <c r="H118" s="613">
        <f t="shared" si="21"/>
        <v>111538.02588119754</v>
      </c>
      <c r="I118" s="614">
        <f t="shared" si="22"/>
        <v>111538.02588119754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6">
        <f>IF(F118+SUM(E$99:E118)=D$92,F118,D$92-SUM(E$99:E118))</f>
        <v>721430</v>
      </c>
      <c r="E119" s="484">
        <f t="shared" si="18"/>
        <v>32033</v>
      </c>
      <c r="F119" s="485">
        <f t="shared" si="19"/>
        <v>689397</v>
      </c>
      <c r="G119" s="485">
        <f t="shared" si="20"/>
        <v>705413.5</v>
      </c>
      <c r="H119" s="613">
        <f t="shared" si="21"/>
        <v>108084.50824425383</v>
      </c>
      <c r="I119" s="614">
        <f t="shared" si="22"/>
        <v>108084.50824425383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6">
        <f>IF(F119+SUM(E$99:E119)=D$92,F119,D$92-SUM(E$99:E119))</f>
        <v>689397</v>
      </c>
      <c r="E120" s="484">
        <f t="shared" si="18"/>
        <v>32033</v>
      </c>
      <c r="F120" s="485">
        <f t="shared" si="19"/>
        <v>657364</v>
      </c>
      <c r="G120" s="485">
        <f t="shared" si="20"/>
        <v>673380.5</v>
      </c>
      <c r="H120" s="613">
        <f t="shared" si="21"/>
        <v>104630.99060731013</v>
      </c>
      <c r="I120" s="614">
        <f t="shared" si="22"/>
        <v>104630.99060731013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6">
        <f>IF(F120+SUM(E$99:E120)=D$92,F120,D$92-SUM(E$99:E120))</f>
        <v>657364</v>
      </c>
      <c r="E121" s="484">
        <f t="shared" si="18"/>
        <v>32033</v>
      </c>
      <c r="F121" s="485">
        <f t="shared" si="19"/>
        <v>625331</v>
      </c>
      <c r="G121" s="485">
        <f t="shared" si="20"/>
        <v>641347.5</v>
      </c>
      <c r="H121" s="613">
        <f t="shared" si="21"/>
        <v>101177.47297036643</v>
      </c>
      <c r="I121" s="614">
        <f t="shared" si="22"/>
        <v>101177.47297036643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6">
        <f>IF(F121+SUM(E$99:E121)=D$92,F121,D$92-SUM(E$99:E121))</f>
        <v>625331</v>
      </c>
      <c r="E122" s="484">
        <f t="shared" si="18"/>
        <v>32033</v>
      </c>
      <c r="F122" s="485">
        <f t="shared" si="19"/>
        <v>593298</v>
      </c>
      <c r="G122" s="485">
        <f t="shared" si="20"/>
        <v>609314.5</v>
      </c>
      <c r="H122" s="613">
        <f t="shared" si="21"/>
        <v>97723.955333422738</v>
      </c>
      <c r="I122" s="614">
        <f t="shared" si="22"/>
        <v>97723.955333422738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6">
        <f>IF(F122+SUM(E$99:E122)=D$92,F122,D$92-SUM(E$99:E122))</f>
        <v>593298</v>
      </c>
      <c r="E123" s="484">
        <f t="shared" si="18"/>
        <v>32033</v>
      </c>
      <c r="F123" s="485">
        <f t="shared" si="19"/>
        <v>561265</v>
      </c>
      <c r="G123" s="485">
        <f t="shared" si="20"/>
        <v>577281.5</v>
      </c>
      <c r="H123" s="613">
        <f t="shared" si="21"/>
        <v>94270.437696479043</v>
      </c>
      <c r="I123" s="614">
        <f t="shared" si="22"/>
        <v>94270.437696479043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6">
        <f>IF(F123+SUM(E$99:E123)=D$92,F123,D$92-SUM(E$99:E123))</f>
        <v>561265</v>
      </c>
      <c r="E124" s="484">
        <f t="shared" si="18"/>
        <v>32033</v>
      </c>
      <c r="F124" s="485">
        <f t="shared" si="19"/>
        <v>529232</v>
      </c>
      <c r="G124" s="485">
        <f t="shared" si="20"/>
        <v>545248.5</v>
      </c>
      <c r="H124" s="613">
        <f t="shared" si="21"/>
        <v>90816.920059535347</v>
      </c>
      <c r="I124" s="614">
        <f t="shared" si="22"/>
        <v>90816.920059535347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6">
        <f>IF(F124+SUM(E$99:E124)=D$92,F124,D$92-SUM(E$99:E124))</f>
        <v>529232</v>
      </c>
      <c r="E125" s="484">
        <f t="shared" si="18"/>
        <v>32033</v>
      </c>
      <c r="F125" s="485">
        <f t="shared" si="19"/>
        <v>497199</v>
      </c>
      <c r="G125" s="485">
        <f t="shared" si="20"/>
        <v>513215.5</v>
      </c>
      <c r="H125" s="613">
        <f t="shared" si="21"/>
        <v>87363.402422591636</v>
      </c>
      <c r="I125" s="614">
        <f t="shared" si="22"/>
        <v>87363.402422591636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6">
        <f>IF(F125+SUM(E$99:E125)=D$92,F125,D$92-SUM(E$99:E125))</f>
        <v>497199</v>
      </c>
      <c r="E126" s="484">
        <f t="shared" si="18"/>
        <v>32033</v>
      </c>
      <c r="F126" s="485">
        <f t="shared" si="19"/>
        <v>465166</v>
      </c>
      <c r="G126" s="485">
        <f t="shared" si="20"/>
        <v>481182.5</v>
      </c>
      <c r="H126" s="613">
        <f t="shared" si="21"/>
        <v>83909.884785647941</v>
      </c>
      <c r="I126" s="614">
        <f t="shared" si="22"/>
        <v>83909.884785647941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6">
        <f>IF(F126+SUM(E$99:E126)=D$92,F126,D$92-SUM(E$99:E126))</f>
        <v>465166</v>
      </c>
      <c r="E127" s="484">
        <f t="shared" si="18"/>
        <v>32033</v>
      </c>
      <c r="F127" s="485">
        <f t="shared" si="19"/>
        <v>433133</v>
      </c>
      <c r="G127" s="485">
        <f t="shared" si="20"/>
        <v>449149.5</v>
      </c>
      <c r="H127" s="613">
        <f t="shared" si="21"/>
        <v>80456.367148704245</v>
      </c>
      <c r="I127" s="614">
        <f t="shared" si="22"/>
        <v>80456.367148704245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6">
        <f>IF(F127+SUM(E$99:E127)=D$92,F127,D$92-SUM(E$99:E127))</f>
        <v>433133</v>
      </c>
      <c r="E128" s="484">
        <f t="shared" si="18"/>
        <v>32033</v>
      </c>
      <c r="F128" s="485">
        <f t="shared" si="19"/>
        <v>401100</v>
      </c>
      <c r="G128" s="485">
        <f t="shared" si="20"/>
        <v>417116.5</v>
      </c>
      <c r="H128" s="613">
        <f t="shared" si="21"/>
        <v>77002.849511760549</v>
      </c>
      <c r="I128" s="614">
        <f t="shared" si="22"/>
        <v>77002.849511760549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6">
        <f>IF(F128+SUM(E$99:E128)=D$92,F128,D$92-SUM(E$99:E128))</f>
        <v>401100</v>
      </c>
      <c r="E129" s="484">
        <f t="shared" si="18"/>
        <v>32033</v>
      </c>
      <c r="F129" s="485">
        <f t="shared" si="19"/>
        <v>369067</v>
      </c>
      <c r="G129" s="485">
        <f t="shared" si="20"/>
        <v>385083.5</v>
      </c>
      <c r="H129" s="613">
        <f t="shared" si="21"/>
        <v>73549.331874816853</v>
      </c>
      <c r="I129" s="614">
        <f t="shared" si="22"/>
        <v>73549.331874816853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6">
        <f>IF(F129+SUM(E$99:E129)=D$92,F129,D$92-SUM(E$99:E129))</f>
        <v>369067</v>
      </c>
      <c r="E130" s="484">
        <f t="shared" si="18"/>
        <v>32033</v>
      </c>
      <c r="F130" s="485">
        <f t="shared" si="19"/>
        <v>337034</v>
      </c>
      <c r="G130" s="485">
        <f t="shared" si="20"/>
        <v>353050.5</v>
      </c>
      <c r="H130" s="613">
        <f t="shared" si="21"/>
        <v>70095.814237873157</v>
      </c>
      <c r="I130" s="614">
        <f t="shared" si="22"/>
        <v>70095.814237873157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6">
        <f>IF(F130+SUM(E$99:E130)=D$92,F130,D$92-SUM(E$99:E130))</f>
        <v>337034</v>
      </c>
      <c r="E131" s="484">
        <f t="shared" si="18"/>
        <v>32033</v>
      </c>
      <c r="F131" s="485">
        <f t="shared" si="19"/>
        <v>305001</v>
      </c>
      <c r="G131" s="485">
        <f t="shared" si="20"/>
        <v>321017.5</v>
      </c>
      <c r="H131" s="613">
        <f t="shared" si="21"/>
        <v>66642.296600929461</v>
      </c>
      <c r="I131" s="614">
        <f t="shared" si="22"/>
        <v>66642.296600929461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6">
        <f>IF(F131+SUM(E$99:E131)=D$92,F131,D$92-SUM(E$99:E131))</f>
        <v>305001</v>
      </c>
      <c r="E132" s="484">
        <f t="shared" si="18"/>
        <v>32033</v>
      </c>
      <c r="F132" s="485">
        <f t="shared" si="19"/>
        <v>272968</v>
      </c>
      <c r="G132" s="485">
        <f t="shared" si="20"/>
        <v>288984.5</v>
      </c>
      <c r="H132" s="613">
        <f t="shared" si="21"/>
        <v>63188.778963985766</v>
      </c>
      <c r="I132" s="614">
        <f t="shared" si="22"/>
        <v>63188.778963985766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6">
        <f>IF(F132+SUM(E$99:E132)=D$92,F132,D$92-SUM(E$99:E132))</f>
        <v>272968</v>
      </c>
      <c r="E133" s="484">
        <f t="shared" si="18"/>
        <v>32033</v>
      </c>
      <c r="F133" s="485">
        <f t="shared" si="19"/>
        <v>240935</v>
      </c>
      <c r="G133" s="485">
        <f t="shared" si="20"/>
        <v>256951.5</v>
      </c>
      <c r="H133" s="613">
        <f t="shared" si="21"/>
        <v>59735.26132704207</v>
      </c>
      <c r="I133" s="614">
        <f t="shared" si="22"/>
        <v>59735.26132704207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6">
        <f>IF(F133+SUM(E$99:E133)=D$92,F133,D$92-SUM(E$99:E133))</f>
        <v>240935</v>
      </c>
      <c r="E134" s="484">
        <f t="shared" si="18"/>
        <v>32033</v>
      </c>
      <c r="F134" s="485">
        <f t="shared" si="19"/>
        <v>208902</v>
      </c>
      <c r="G134" s="485">
        <f t="shared" si="20"/>
        <v>224918.5</v>
      </c>
      <c r="H134" s="613">
        <f t="shared" si="21"/>
        <v>56281.743690098374</v>
      </c>
      <c r="I134" s="614">
        <f t="shared" si="22"/>
        <v>56281.743690098374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6">
        <f>IF(F134+SUM(E$99:E134)=D$92,F134,D$92-SUM(E$99:E134))</f>
        <v>208902</v>
      </c>
      <c r="E135" s="484">
        <f t="shared" si="18"/>
        <v>32033</v>
      </c>
      <c r="F135" s="485">
        <f t="shared" si="19"/>
        <v>176869</v>
      </c>
      <c r="G135" s="485">
        <f t="shared" si="20"/>
        <v>192885.5</v>
      </c>
      <c r="H135" s="613">
        <f t="shared" si="21"/>
        <v>52828.226053154671</v>
      </c>
      <c r="I135" s="614">
        <f t="shared" si="22"/>
        <v>52828.226053154671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6">
        <f>IF(F135+SUM(E$99:E135)=D$92,F135,D$92-SUM(E$99:E135))</f>
        <v>176869</v>
      </c>
      <c r="E136" s="484">
        <f t="shared" si="18"/>
        <v>32033</v>
      </c>
      <c r="F136" s="485">
        <f t="shared" si="19"/>
        <v>144836</v>
      </c>
      <c r="G136" s="485">
        <f t="shared" si="20"/>
        <v>160852.5</v>
      </c>
      <c r="H136" s="613">
        <f t="shared" si="21"/>
        <v>49374.708416210975</v>
      </c>
      <c r="I136" s="614">
        <f t="shared" si="22"/>
        <v>49374.708416210975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6">
        <f>IF(F136+SUM(E$99:E136)=D$92,F136,D$92-SUM(E$99:E136))</f>
        <v>144836</v>
      </c>
      <c r="E137" s="484">
        <f t="shared" si="18"/>
        <v>32033</v>
      </c>
      <c r="F137" s="485">
        <f t="shared" si="19"/>
        <v>112803</v>
      </c>
      <c r="G137" s="485">
        <f t="shared" si="20"/>
        <v>128819.5</v>
      </c>
      <c r="H137" s="613">
        <f t="shared" si="21"/>
        <v>45921.190779267272</v>
      </c>
      <c r="I137" s="614">
        <f t="shared" si="22"/>
        <v>45921.190779267272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6">
        <f>IF(F137+SUM(E$99:E137)=D$92,F137,D$92-SUM(E$99:E137))</f>
        <v>112803</v>
      </c>
      <c r="E138" s="484">
        <f t="shared" si="18"/>
        <v>32033</v>
      </c>
      <c r="F138" s="485">
        <f t="shared" si="19"/>
        <v>80770</v>
      </c>
      <c r="G138" s="485">
        <f t="shared" si="20"/>
        <v>96786.5</v>
      </c>
      <c r="H138" s="613">
        <f t="shared" si="21"/>
        <v>42467.673142323576</v>
      </c>
      <c r="I138" s="614">
        <f t="shared" si="22"/>
        <v>42467.673142323576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6">
        <f>IF(F138+SUM(E$99:E138)=D$92,F138,D$92-SUM(E$99:E138))</f>
        <v>80770</v>
      </c>
      <c r="E139" s="484">
        <f t="shared" si="18"/>
        <v>32033</v>
      </c>
      <c r="F139" s="485">
        <f t="shared" si="19"/>
        <v>48737</v>
      </c>
      <c r="G139" s="485">
        <f t="shared" si="20"/>
        <v>64753.5</v>
      </c>
      <c r="H139" s="613">
        <f t="shared" si="21"/>
        <v>39014.15550537988</v>
      </c>
      <c r="I139" s="614">
        <f t="shared" si="22"/>
        <v>39014.15550537988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6">
        <f>IF(F139+SUM(E$99:E139)=D$92,F139,D$92-SUM(E$99:E139))</f>
        <v>48737</v>
      </c>
      <c r="E140" s="484">
        <f t="shared" si="18"/>
        <v>32033</v>
      </c>
      <c r="F140" s="485">
        <f t="shared" si="19"/>
        <v>16704</v>
      </c>
      <c r="G140" s="485">
        <f t="shared" si="20"/>
        <v>32720.5</v>
      </c>
      <c r="H140" s="613">
        <f t="shared" si="21"/>
        <v>35560.637868436184</v>
      </c>
      <c r="I140" s="614">
        <f t="shared" si="22"/>
        <v>35560.637868436184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6">
        <f>IF(F140+SUM(E$99:E140)=D$92,F140,D$92-SUM(E$99:E140))</f>
        <v>16704</v>
      </c>
      <c r="E141" s="484">
        <f t="shared" si="18"/>
        <v>16704</v>
      </c>
      <c r="F141" s="485">
        <f t="shared" si="19"/>
        <v>0</v>
      </c>
      <c r="G141" s="485">
        <f t="shared" si="20"/>
        <v>8352</v>
      </c>
      <c r="H141" s="613">
        <f t="shared" si="21"/>
        <v>17604.439524982168</v>
      </c>
      <c r="I141" s="614">
        <f t="shared" si="22"/>
        <v>17604.439524982168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613">
        <f t="shared" si="21"/>
        <v>0</v>
      </c>
      <c r="I142" s="614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613">
        <f t="shared" si="21"/>
        <v>0</v>
      </c>
      <c r="I143" s="614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613">
        <f t="shared" si="21"/>
        <v>0</v>
      </c>
      <c r="I144" s="614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613">
        <f t="shared" si="21"/>
        <v>0</v>
      </c>
      <c r="I145" s="614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613">
        <f t="shared" si="21"/>
        <v>0</v>
      </c>
      <c r="I146" s="614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613">
        <f t="shared" si="21"/>
        <v>0</v>
      </c>
      <c r="I147" s="614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613">
        <f t="shared" si="21"/>
        <v>0</v>
      </c>
      <c r="I148" s="614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613">
        <f t="shared" si="21"/>
        <v>0</v>
      </c>
      <c r="I149" s="614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613">
        <f t="shared" si="21"/>
        <v>0</v>
      </c>
      <c r="I150" s="614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613">
        <f t="shared" si="21"/>
        <v>0</v>
      </c>
      <c r="I151" s="614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613">
        <f t="shared" si="21"/>
        <v>0</v>
      </c>
      <c r="I152" s="614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613">
        <f t="shared" si="21"/>
        <v>0</v>
      </c>
      <c r="I153" s="614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5">
        <f t="shared" si="21"/>
        <v>0</v>
      </c>
      <c r="I154" s="616">
        <f t="shared" si="22"/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6" t="s">
        <v>77</v>
      </c>
      <c r="D155" s="347"/>
      <c r="E155" s="347">
        <f>SUM(E99:E154)</f>
        <v>1345383</v>
      </c>
      <c r="F155" s="347"/>
      <c r="G155" s="347"/>
      <c r="H155" s="347">
        <f>SUM(H99:H154)</f>
        <v>4392906.4181156522</v>
      </c>
      <c r="I155" s="347">
        <f>SUM(I99:I154)</f>
        <v>4392906.4181156522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7" priority="1" stopIfTrue="1" operator="equal">
      <formula>$I$10</formula>
    </cfRule>
  </conditionalFormatting>
  <conditionalFormatting sqref="C99:C154">
    <cfRule type="cellIs" dxfId="16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5" zoomScaleNormal="85" workbookViewId="0">
      <selection activeCell="D17" sqref="D1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25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33648.35187112401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33648.35187112401</v>
      </c>
      <c r="O6" s="232"/>
      <c r="P6" s="232"/>
    </row>
    <row r="7" spans="1:16" ht="13.5" thickBot="1">
      <c r="C7" s="431" t="s">
        <v>46</v>
      </c>
      <c r="D7" s="599" t="s">
        <v>320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321</v>
      </c>
      <c r="E9" s="623" t="s">
        <v>342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288860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6877.6190476190477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2018</v>
      </c>
      <c r="D17" s="584">
        <v>0</v>
      </c>
      <c r="E17" s="608">
        <v>11600</v>
      </c>
      <c r="F17" s="584">
        <v>1032400</v>
      </c>
      <c r="G17" s="608">
        <v>81460.13871045578</v>
      </c>
      <c r="H17" s="587">
        <v>81460.13871045578</v>
      </c>
      <c r="I17" s="475">
        <f>H17-G17</f>
        <v>0</v>
      </c>
      <c r="J17" s="475"/>
      <c r="K17" s="554">
        <f>+G17</f>
        <v>81460.13871045578</v>
      </c>
      <c r="L17" s="477">
        <f t="shared" ref="L17:L72" si="0">IF(K17&lt;&gt;0,+G17-K17,0)</f>
        <v>0</v>
      </c>
      <c r="M17" s="554">
        <f>+H17</f>
        <v>81460.13871045578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2019</v>
      </c>
      <c r="D18" s="584">
        <v>0</v>
      </c>
      <c r="E18" s="585">
        <v>11600</v>
      </c>
      <c r="F18" s="584">
        <v>1032400</v>
      </c>
      <c r="G18" s="585">
        <v>73419.565193351213</v>
      </c>
      <c r="H18" s="587">
        <v>73419.565193351213</v>
      </c>
      <c r="I18" s="475">
        <f>H18-G18</f>
        <v>0</v>
      </c>
      <c r="J18" s="475"/>
      <c r="K18" s="478">
        <f>+G18</f>
        <v>73419.565193351213</v>
      </c>
      <c r="L18" s="478">
        <f t="shared" si="0"/>
        <v>0</v>
      </c>
      <c r="M18" s="478">
        <f>+H18</f>
        <v>73419.565193351213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2020</v>
      </c>
      <c r="D19" s="584">
        <v>267280</v>
      </c>
      <c r="E19" s="585">
        <v>7192.3809523809523</v>
      </c>
      <c r="F19" s="584">
        <v>260087.61904761905</v>
      </c>
      <c r="G19" s="585">
        <v>35671.491974766584</v>
      </c>
      <c r="H19" s="587">
        <v>35671.491974766584</v>
      </c>
      <c r="I19" s="475">
        <f t="shared" ref="I19:I71" si="3">H19-G19</f>
        <v>0</v>
      </c>
      <c r="J19" s="475"/>
      <c r="K19" s="478">
        <f>+G19</f>
        <v>35671.491974766584</v>
      </c>
      <c r="L19" s="478">
        <f t="shared" ref="L19" si="4">IF(K19&lt;&gt;0,+G19-K19,0)</f>
        <v>0</v>
      </c>
      <c r="M19" s="478">
        <f>+H19</f>
        <v>35671.491974766584</v>
      </c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2021</v>
      </c>
      <c r="D20" s="584">
        <v>258467.61904761905</v>
      </c>
      <c r="E20" s="585">
        <v>6717.6744186046508</v>
      </c>
      <c r="F20" s="584">
        <v>251749.94462901441</v>
      </c>
      <c r="G20" s="585">
        <v>34223.924690152948</v>
      </c>
      <c r="H20" s="587">
        <v>34223.924690152948</v>
      </c>
      <c r="I20" s="475">
        <f t="shared" si="3"/>
        <v>0</v>
      </c>
      <c r="J20" s="475"/>
      <c r="K20" s="478">
        <f>+G20</f>
        <v>34223.924690152948</v>
      </c>
      <c r="L20" s="478">
        <f t="shared" ref="L20" si="6">IF(K20&lt;&gt;0,+G20-K20,0)</f>
        <v>0</v>
      </c>
      <c r="M20" s="478">
        <f>+H20</f>
        <v>34223.924690152948</v>
      </c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5"/>
        <v/>
      </c>
      <c r="C21" s="472">
        <f>IF(D11="","-",+C20+1)</f>
        <v>2022</v>
      </c>
      <c r="D21" s="483">
        <f>IF(F20+SUM(E$17:E20)=D$10,F20,D$10-SUM(E$17:E20))</f>
        <v>251749.94462901441</v>
      </c>
      <c r="E21" s="484">
        <f t="shared" ref="E21:E71" si="7">IF(+I$14&lt;F20,I$14,D21)</f>
        <v>6877.6190476190477</v>
      </c>
      <c r="F21" s="485">
        <f t="shared" ref="F21:F71" si="8">+D21-E21</f>
        <v>244872.32558139536</v>
      </c>
      <c r="G21" s="486">
        <f t="shared" ref="G21:G71" si="9">(D21+F21)/2*I$12+E21</f>
        <v>33648.35187112401</v>
      </c>
      <c r="H21" s="455">
        <f t="shared" ref="H21:H71" si="10">+(D21+F21)/2*I$13+E21</f>
        <v>33648.35187112401</v>
      </c>
      <c r="I21" s="475">
        <f t="shared" si="3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5"/>
        <v/>
      </c>
      <c r="C22" s="472">
        <f>IF(D11="","-",+C21+1)</f>
        <v>2023</v>
      </c>
      <c r="D22" s="483">
        <f>IF(F21+SUM(E$17:E21)=D$10,F21,D$10-SUM(E$17:E21))</f>
        <v>244872.32558139536</v>
      </c>
      <c r="E22" s="484">
        <f t="shared" si="7"/>
        <v>6877.6190476190477</v>
      </c>
      <c r="F22" s="485">
        <f t="shared" si="8"/>
        <v>237994.70653377631</v>
      </c>
      <c r="G22" s="486">
        <f t="shared" si="9"/>
        <v>32906.867193412516</v>
      </c>
      <c r="H22" s="455">
        <f t="shared" si="10"/>
        <v>32906.867193412516</v>
      </c>
      <c r="I22" s="475">
        <f t="shared" si="3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5"/>
        <v/>
      </c>
      <c r="C23" s="472">
        <f>IF(D11="","-",+C22+1)</f>
        <v>2024</v>
      </c>
      <c r="D23" s="483">
        <f>IF(F22+SUM(E$17:E22)=D$10,F22,D$10-SUM(E$17:E22))</f>
        <v>237994.70653377631</v>
      </c>
      <c r="E23" s="484">
        <f t="shared" si="7"/>
        <v>6877.6190476190477</v>
      </c>
      <c r="F23" s="485">
        <f t="shared" si="8"/>
        <v>231117.08748615725</v>
      </c>
      <c r="G23" s="486">
        <f t="shared" si="9"/>
        <v>32165.382515701021</v>
      </c>
      <c r="H23" s="455">
        <f t="shared" si="10"/>
        <v>32165.382515701021</v>
      </c>
      <c r="I23" s="475">
        <f t="shared" si="3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5"/>
        <v/>
      </c>
      <c r="C24" s="472">
        <f>IF(D11="","-",+C23+1)</f>
        <v>2025</v>
      </c>
      <c r="D24" s="483">
        <f>IF(F23+SUM(E$17:E23)=D$10,F23,D$10-SUM(E$17:E23))</f>
        <v>231117.08748615725</v>
      </c>
      <c r="E24" s="484">
        <f t="shared" si="7"/>
        <v>6877.6190476190477</v>
      </c>
      <c r="F24" s="485">
        <f t="shared" si="8"/>
        <v>224239.4684385382</v>
      </c>
      <c r="G24" s="486">
        <f t="shared" si="9"/>
        <v>31423.897837989527</v>
      </c>
      <c r="H24" s="455">
        <f t="shared" si="10"/>
        <v>31423.897837989527</v>
      </c>
      <c r="I24" s="475">
        <f t="shared" si="3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5"/>
        <v/>
      </c>
      <c r="C25" s="472">
        <f>IF(D11="","-",+C24+1)</f>
        <v>2026</v>
      </c>
      <c r="D25" s="483">
        <f>IF(F24+SUM(E$17:E24)=D$10,F24,D$10-SUM(E$17:E24))</f>
        <v>224239.4684385382</v>
      </c>
      <c r="E25" s="484">
        <f t="shared" si="7"/>
        <v>6877.6190476190477</v>
      </c>
      <c r="F25" s="485">
        <f t="shared" si="8"/>
        <v>217361.84939091915</v>
      </c>
      <c r="G25" s="486">
        <f t="shared" si="9"/>
        <v>30682.413160278025</v>
      </c>
      <c r="H25" s="455">
        <f t="shared" si="10"/>
        <v>30682.413160278025</v>
      </c>
      <c r="I25" s="475">
        <f t="shared" si="3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5"/>
        <v/>
      </c>
      <c r="C26" s="472">
        <f>IF(D11="","-",+C25+1)</f>
        <v>2027</v>
      </c>
      <c r="D26" s="483">
        <f>IF(F25+SUM(E$17:E25)=D$10,F25,D$10-SUM(E$17:E25))</f>
        <v>217361.84939091915</v>
      </c>
      <c r="E26" s="484">
        <f t="shared" si="7"/>
        <v>6877.6190476190477</v>
      </c>
      <c r="F26" s="485">
        <f t="shared" si="8"/>
        <v>210484.23034330009</v>
      </c>
      <c r="G26" s="486">
        <f t="shared" si="9"/>
        <v>29940.928482566531</v>
      </c>
      <c r="H26" s="455">
        <f t="shared" si="10"/>
        <v>29940.928482566531</v>
      </c>
      <c r="I26" s="475">
        <f t="shared" si="3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5"/>
        <v/>
      </c>
      <c r="C27" s="472">
        <f>IF(D11="","-",+C26+1)</f>
        <v>2028</v>
      </c>
      <c r="D27" s="483">
        <f>IF(F26+SUM(E$17:E26)=D$10,F26,D$10-SUM(E$17:E26))</f>
        <v>210484.23034330009</v>
      </c>
      <c r="E27" s="484">
        <f t="shared" si="7"/>
        <v>6877.6190476190477</v>
      </c>
      <c r="F27" s="485">
        <f t="shared" si="8"/>
        <v>203606.61129568104</v>
      </c>
      <c r="G27" s="486">
        <f t="shared" si="9"/>
        <v>29199.443804855036</v>
      </c>
      <c r="H27" s="455">
        <f t="shared" si="10"/>
        <v>29199.443804855036</v>
      </c>
      <c r="I27" s="475">
        <f t="shared" si="3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5"/>
        <v/>
      </c>
      <c r="C28" s="472">
        <f>IF(D11="","-",+C27+1)</f>
        <v>2029</v>
      </c>
      <c r="D28" s="483">
        <f>IF(F27+SUM(E$17:E27)=D$10,F27,D$10-SUM(E$17:E27))</f>
        <v>203606.61129568104</v>
      </c>
      <c r="E28" s="484">
        <f t="shared" si="7"/>
        <v>6877.6190476190477</v>
      </c>
      <c r="F28" s="485">
        <f t="shared" si="8"/>
        <v>196728.99224806199</v>
      </c>
      <c r="G28" s="486">
        <f t="shared" si="9"/>
        <v>28457.959127143542</v>
      </c>
      <c r="H28" s="455">
        <f t="shared" si="10"/>
        <v>28457.959127143542</v>
      </c>
      <c r="I28" s="475">
        <f t="shared" si="3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5"/>
        <v/>
      </c>
      <c r="C29" s="472">
        <f>IF(D11="","-",+C28+1)</f>
        <v>2030</v>
      </c>
      <c r="D29" s="483">
        <f>IF(F28+SUM(E$17:E28)=D$10,F28,D$10-SUM(E$17:E28))</f>
        <v>196728.99224806199</v>
      </c>
      <c r="E29" s="484">
        <f t="shared" si="7"/>
        <v>6877.6190476190477</v>
      </c>
      <c r="F29" s="485">
        <f t="shared" si="8"/>
        <v>189851.37320044293</v>
      </c>
      <c r="G29" s="486">
        <f t="shared" si="9"/>
        <v>27716.474449432048</v>
      </c>
      <c r="H29" s="455">
        <f t="shared" si="10"/>
        <v>27716.474449432048</v>
      </c>
      <c r="I29" s="475">
        <f t="shared" si="3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5"/>
        <v/>
      </c>
      <c r="C30" s="472">
        <f>IF(D11="","-",+C29+1)</f>
        <v>2031</v>
      </c>
      <c r="D30" s="483">
        <f>IF(F29+SUM(E$17:E29)=D$10,F29,D$10-SUM(E$17:E29))</f>
        <v>189851.37320044293</v>
      </c>
      <c r="E30" s="484">
        <f t="shared" si="7"/>
        <v>6877.6190476190477</v>
      </c>
      <c r="F30" s="485">
        <f t="shared" si="8"/>
        <v>182973.75415282388</v>
      </c>
      <c r="G30" s="486">
        <f t="shared" si="9"/>
        <v>26974.989771720553</v>
      </c>
      <c r="H30" s="455">
        <f t="shared" si="10"/>
        <v>26974.989771720553</v>
      </c>
      <c r="I30" s="475">
        <f t="shared" si="3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5"/>
        <v/>
      </c>
      <c r="C31" s="472">
        <f>IF(D11="","-",+C30+1)</f>
        <v>2032</v>
      </c>
      <c r="D31" s="483">
        <f>IF(F30+SUM(E$17:E30)=D$10,F30,D$10-SUM(E$17:E30))</f>
        <v>182973.75415282388</v>
      </c>
      <c r="E31" s="484">
        <f t="shared" si="7"/>
        <v>6877.6190476190477</v>
      </c>
      <c r="F31" s="485">
        <f t="shared" si="8"/>
        <v>176096.13510520483</v>
      </c>
      <c r="G31" s="486">
        <f t="shared" si="9"/>
        <v>26233.505094009059</v>
      </c>
      <c r="H31" s="455">
        <f t="shared" si="10"/>
        <v>26233.505094009059</v>
      </c>
      <c r="I31" s="475">
        <f t="shared" si="3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5"/>
        <v/>
      </c>
      <c r="C32" s="472">
        <f>IF(D11="","-",+C31+1)</f>
        <v>2033</v>
      </c>
      <c r="D32" s="483">
        <f>IF(F31+SUM(E$17:E31)=D$10,F31,D$10-SUM(E$17:E31))</f>
        <v>176096.13510520483</v>
      </c>
      <c r="E32" s="484">
        <f t="shared" si="7"/>
        <v>6877.6190476190477</v>
      </c>
      <c r="F32" s="485">
        <f t="shared" si="8"/>
        <v>169218.51605758577</v>
      </c>
      <c r="G32" s="486">
        <f t="shared" si="9"/>
        <v>25492.020416297564</v>
      </c>
      <c r="H32" s="455">
        <f t="shared" si="10"/>
        <v>25492.020416297564</v>
      </c>
      <c r="I32" s="475">
        <f t="shared" si="3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5"/>
        <v/>
      </c>
      <c r="C33" s="472">
        <f>IF(D11="","-",+C32+1)</f>
        <v>2034</v>
      </c>
      <c r="D33" s="483">
        <f>IF(F32+SUM(E$17:E32)=D$10,F32,D$10-SUM(E$17:E32))</f>
        <v>169218.51605758577</v>
      </c>
      <c r="E33" s="484">
        <f t="shared" si="7"/>
        <v>6877.6190476190477</v>
      </c>
      <c r="F33" s="485">
        <f t="shared" si="8"/>
        <v>162340.89700996672</v>
      </c>
      <c r="G33" s="486">
        <f t="shared" si="9"/>
        <v>24750.53573858607</v>
      </c>
      <c r="H33" s="455">
        <f t="shared" si="10"/>
        <v>24750.53573858607</v>
      </c>
      <c r="I33" s="475">
        <f t="shared" si="3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5"/>
        <v/>
      </c>
      <c r="C34" s="472">
        <f>IF(D11="","-",+C33+1)</f>
        <v>2035</v>
      </c>
      <c r="D34" s="483">
        <f>IF(F33+SUM(E$17:E33)=D$10,F33,D$10-SUM(E$17:E33))</f>
        <v>162340.89700996672</v>
      </c>
      <c r="E34" s="484">
        <f t="shared" si="7"/>
        <v>6877.6190476190477</v>
      </c>
      <c r="F34" s="485">
        <f t="shared" si="8"/>
        <v>155463.27796234767</v>
      </c>
      <c r="G34" s="486">
        <f t="shared" si="9"/>
        <v>24009.051060874575</v>
      </c>
      <c r="H34" s="455">
        <f t="shared" si="10"/>
        <v>24009.051060874575</v>
      </c>
      <c r="I34" s="475">
        <f t="shared" si="3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5"/>
        <v/>
      </c>
      <c r="C35" s="472">
        <f>IF(D11="","-",+C34+1)</f>
        <v>2036</v>
      </c>
      <c r="D35" s="483">
        <f>IF(F34+SUM(E$17:E34)=D$10,F34,D$10-SUM(E$17:E34))</f>
        <v>155463.27796234767</v>
      </c>
      <c r="E35" s="484">
        <f t="shared" si="7"/>
        <v>6877.6190476190477</v>
      </c>
      <c r="F35" s="485">
        <f t="shared" si="8"/>
        <v>148585.65891472861</v>
      </c>
      <c r="G35" s="486">
        <f t="shared" si="9"/>
        <v>23267.566383163081</v>
      </c>
      <c r="H35" s="455">
        <f t="shared" si="10"/>
        <v>23267.566383163081</v>
      </c>
      <c r="I35" s="475">
        <f t="shared" si="3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5"/>
        <v/>
      </c>
      <c r="C36" s="472">
        <f>IF(D11="","-",+C35+1)</f>
        <v>2037</v>
      </c>
      <c r="D36" s="483">
        <f>IF(F35+SUM(E$17:E35)=D$10,F35,D$10-SUM(E$17:E35))</f>
        <v>148585.65891472861</v>
      </c>
      <c r="E36" s="484">
        <f t="shared" si="7"/>
        <v>6877.6190476190477</v>
      </c>
      <c r="F36" s="485">
        <f t="shared" si="8"/>
        <v>141708.03986710956</v>
      </c>
      <c r="G36" s="486">
        <f t="shared" si="9"/>
        <v>22526.081705451586</v>
      </c>
      <c r="H36" s="455">
        <f t="shared" si="10"/>
        <v>22526.081705451586</v>
      </c>
      <c r="I36" s="475">
        <f t="shared" si="3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5"/>
        <v/>
      </c>
      <c r="C37" s="472">
        <f>IF(D11="","-",+C36+1)</f>
        <v>2038</v>
      </c>
      <c r="D37" s="483">
        <f>IF(F36+SUM(E$17:E36)=D$10,F36,D$10-SUM(E$17:E36))</f>
        <v>141708.03986710956</v>
      </c>
      <c r="E37" s="484">
        <f t="shared" si="7"/>
        <v>6877.6190476190477</v>
      </c>
      <c r="F37" s="485">
        <f t="shared" si="8"/>
        <v>134830.42081949051</v>
      </c>
      <c r="G37" s="486">
        <f t="shared" si="9"/>
        <v>21784.597027740092</v>
      </c>
      <c r="H37" s="455">
        <f t="shared" si="10"/>
        <v>21784.597027740092</v>
      </c>
      <c r="I37" s="475">
        <f t="shared" si="3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5"/>
        <v/>
      </c>
      <c r="C38" s="472">
        <f>IF(D11="","-",+C37+1)</f>
        <v>2039</v>
      </c>
      <c r="D38" s="483">
        <f>IF(F37+SUM(E$17:E37)=D$10,F37,D$10-SUM(E$17:E37))</f>
        <v>134830.42081949051</v>
      </c>
      <c r="E38" s="484">
        <f t="shared" si="7"/>
        <v>6877.6190476190477</v>
      </c>
      <c r="F38" s="485">
        <f t="shared" si="8"/>
        <v>127952.80177187145</v>
      </c>
      <c r="G38" s="486">
        <f t="shared" si="9"/>
        <v>21043.112350028598</v>
      </c>
      <c r="H38" s="455">
        <f t="shared" si="10"/>
        <v>21043.112350028598</v>
      </c>
      <c r="I38" s="475">
        <f t="shared" si="3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5"/>
        <v/>
      </c>
      <c r="C39" s="472">
        <f>IF(D11="","-",+C38+1)</f>
        <v>2040</v>
      </c>
      <c r="D39" s="483">
        <f>IF(F38+SUM(E$17:E38)=D$10,F38,D$10-SUM(E$17:E38))</f>
        <v>127952.80177187145</v>
      </c>
      <c r="E39" s="484">
        <f t="shared" si="7"/>
        <v>6877.6190476190477</v>
      </c>
      <c r="F39" s="485">
        <f t="shared" si="8"/>
        <v>121075.1827242524</v>
      </c>
      <c r="G39" s="486">
        <f t="shared" si="9"/>
        <v>20301.627672317099</v>
      </c>
      <c r="H39" s="455">
        <f t="shared" si="10"/>
        <v>20301.627672317099</v>
      </c>
      <c r="I39" s="475">
        <f t="shared" si="3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5"/>
        <v/>
      </c>
      <c r="C40" s="472">
        <f>IF(D11="","-",+C39+1)</f>
        <v>2041</v>
      </c>
      <c r="D40" s="483">
        <f>IF(F39+SUM(E$17:E39)=D$10,F39,D$10-SUM(E$17:E39))</f>
        <v>121075.1827242524</v>
      </c>
      <c r="E40" s="484">
        <f t="shared" si="7"/>
        <v>6877.6190476190477</v>
      </c>
      <c r="F40" s="485">
        <f t="shared" si="8"/>
        <v>114197.56367663335</v>
      </c>
      <c r="G40" s="486">
        <f t="shared" si="9"/>
        <v>19560.142994605605</v>
      </c>
      <c r="H40" s="455">
        <f t="shared" si="10"/>
        <v>19560.142994605605</v>
      </c>
      <c r="I40" s="475">
        <f t="shared" si="3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5"/>
        <v/>
      </c>
      <c r="C41" s="472">
        <f>IF(D11="","-",+C40+1)</f>
        <v>2042</v>
      </c>
      <c r="D41" s="483">
        <f>IF(F40+SUM(E$17:E40)=D$10,F40,D$10-SUM(E$17:E40))</f>
        <v>114197.56367663335</v>
      </c>
      <c r="E41" s="484">
        <f t="shared" si="7"/>
        <v>6877.6190476190477</v>
      </c>
      <c r="F41" s="485">
        <f t="shared" si="8"/>
        <v>107319.9446290143</v>
      </c>
      <c r="G41" s="486">
        <f t="shared" si="9"/>
        <v>18818.658316894111</v>
      </c>
      <c r="H41" s="455">
        <f t="shared" si="10"/>
        <v>18818.658316894111</v>
      </c>
      <c r="I41" s="475">
        <f t="shared" si="3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5"/>
        <v/>
      </c>
      <c r="C42" s="472">
        <f>IF(D11="","-",+C41+1)</f>
        <v>2043</v>
      </c>
      <c r="D42" s="483">
        <f>IF(F41+SUM(E$17:E41)=D$10,F41,D$10-SUM(E$17:E41))</f>
        <v>107319.9446290143</v>
      </c>
      <c r="E42" s="484">
        <f t="shared" si="7"/>
        <v>6877.6190476190477</v>
      </c>
      <c r="F42" s="485">
        <f t="shared" si="8"/>
        <v>100442.32558139524</v>
      </c>
      <c r="G42" s="486">
        <f t="shared" si="9"/>
        <v>18077.173639182613</v>
      </c>
      <c r="H42" s="455">
        <f t="shared" si="10"/>
        <v>18077.173639182613</v>
      </c>
      <c r="I42" s="475">
        <f t="shared" si="3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5"/>
        <v/>
      </c>
      <c r="C43" s="472">
        <f>IF(D11="","-",+C42+1)</f>
        <v>2044</v>
      </c>
      <c r="D43" s="483">
        <f>IF(F42+SUM(E$17:E42)=D$10,F42,D$10-SUM(E$17:E42))</f>
        <v>100442.32558139524</v>
      </c>
      <c r="E43" s="484">
        <f t="shared" si="7"/>
        <v>6877.6190476190477</v>
      </c>
      <c r="F43" s="485">
        <f t="shared" si="8"/>
        <v>93564.706533776189</v>
      </c>
      <c r="G43" s="486">
        <f t="shared" si="9"/>
        <v>17335.688961471118</v>
      </c>
      <c r="H43" s="455">
        <f t="shared" si="10"/>
        <v>17335.688961471118</v>
      </c>
      <c r="I43" s="475">
        <f t="shared" si="3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5"/>
        <v/>
      </c>
      <c r="C44" s="472">
        <f>IF(D11="","-",+C43+1)</f>
        <v>2045</v>
      </c>
      <c r="D44" s="483">
        <f>IF(F43+SUM(E$17:E43)=D$10,F43,D$10-SUM(E$17:E43))</f>
        <v>93564.706533776189</v>
      </c>
      <c r="E44" s="484">
        <f t="shared" si="7"/>
        <v>6877.6190476190477</v>
      </c>
      <c r="F44" s="485">
        <f t="shared" si="8"/>
        <v>86687.087486157136</v>
      </c>
      <c r="G44" s="486">
        <f t="shared" si="9"/>
        <v>16594.204283759624</v>
      </c>
      <c r="H44" s="455">
        <f t="shared" si="10"/>
        <v>16594.204283759624</v>
      </c>
      <c r="I44" s="475">
        <f t="shared" si="3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5"/>
        <v/>
      </c>
      <c r="C45" s="472">
        <f>IF(D11="","-",+C44+1)</f>
        <v>2046</v>
      </c>
      <c r="D45" s="483">
        <f>IF(F44+SUM(E$17:E44)=D$10,F44,D$10-SUM(E$17:E44))</f>
        <v>86687.087486157136</v>
      </c>
      <c r="E45" s="484">
        <f t="shared" si="7"/>
        <v>6877.6190476190477</v>
      </c>
      <c r="F45" s="485">
        <f t="shared" si="8"/>
        <v>79809.468438538082</v>
      </c>
      <c r="G45" s="486">
        <f t="shared" si="9"/>
        <v>15852.719606048131</v>
      </c>
      <c r="H45" s="455">
        <f t="shared" si="10"/>
        <v>15852.719606048131</v>
      </c>
      <c r="I45" s="475">
        <f t="shared" si="3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5"/>
        <v/>
      </c>
      <c r="C46" s="472">
        <f>IF(D11="","-",+C45+1)</f>
        <v>2047</v>
      </c>
      <c r="D46" s="483">
        <f>IF(F45+SUM(E$17:E45)=D$10,F45,D$10-SUM(E$17:E45))</f>
        <v>79809.468438538082</v>
      </c>
      <c r="E46" s="484">
        <f t="shared" si="7"/>
        <v>6877.6190476190477</v>
      </c>
      <c r="F46" s="485">
        <f t="shared" si="8"/>
        <v>72931.849390919029</v>
      </c>
      <c r="G46" s="486">
        <f t="shared" si="9"/>
        <v>15111.234928336635</v>
      </c>
      <c r="H46" s="455">
        <f t="shared" si="10"/>
        <v>15111.234928336635</v>
      </c>
      <c r="I46" s="475">
        <f t="shared" si="3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5"/>
        <v/>
      </c>
      <c r="C47" s="472">
        <f>IF(D11="","-",+C46+1)</f>
        <v>2048</v>
      </c>
      <c r="D47" s="483">
        <f>IF(F46+SUM(E$17:E46)=D$10,F46,D$10-SUM(E$17:E46))</f>
        <v>72931.849390919029</v>
      </c>
      <c r="E47" s="484">
        <f t="shared" si="7"/>
        <v>6877.6190476190477</v>
      </c>
      <c r="F47" s="485">
        <f t="shared" si="8"/>
        <v>66054.230343299976</v>
      </c>
      <c r="G47" s="486">
        <f t="shared" si="9"/>
        <v>14369.75025062514</v>
      </c>
      <c r="H47" s="455">
        <f t="shared" si="10"/>
        <v>14369.75025062514</v>
      </c>
      <c r="I47" s="475">
        <f t="shared" si="3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5"/>
        <v/>
      </c>
      <c r="C48" s="472">
        <f>IF(D11="","-",+C47+1)</f>
        <v>2049</v>
      </c>
      <c r="D48" s="483">
        <f>IF(F47+SUM(E$17:E47)=D$10,F47,D$10-SUM(E$17:E47))</f>
        <v>66054.230343299976</v>
      </c>
      <c r="E48" s="484">
        <f t="shared" si="7"/>
        <v>6877.6190476190477</v>
      </c>
      <c r="F48" s="485">
        <f t="shared" si="8"/>
        <v>59176.61129568093</v>
      </c>
      <c r="G48" s="486">
        <f t="shared" si="9"/>
        <v>13628.265572913646</v>
      </c>
      <c r="H48" s="455">
        <f t="shared" si="10"/>
        <v>13628.265572913646</v>
      </c>
      <c r="I48" s="475">
        <f t="shared" si="3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5"/>
        <v/>
      </c>
      <c r="C49" s="472">
        <f>IF(D11="","-",+C48+1)</f>
        <v>2050</v>
      </c>
      <c r="D49" s="483">
        <f>IF(F48+SUM(E$17:E48)=D$10,F48,D$10-SUM(E$17:E48))</f>
        <v>59176.61129568093</v>
      </c>
      <c r="E49" s="484">
        <f t="shared" si="7"/>
        <v>6877.6190476190477</v>
      </c>
      <c r="F49" s="485">
        <f t="shared" si="8"/>
        <v>52298.992248061884</v>
      </c>
      <c r="G49" s="486">
        <f t="shared" si="9"/>
        <v>12886.780895202151</v>
      </c>
      <c r="H49" s="455">
        <f t="shared" si="10"/>
        <v>12886.780895202151</v>
      </c>
      <c r="I49" s="475">
        <f t="shared" si="3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5"/>
        <v/>
      </c>
      <c r="C50" s="472">
        <f>IF(D11="","-",+C49+1)</f>
        <v>2051</v>
      </c>
      <c r="D50" s="483">
        <f>IF(F49+SUM(E$17:E49)=D$10,F49,D$10-SUM(E$17:E49))</f>
        <v>52298.992248061884</v>
      </c>
      <c r="E50" s="484">
        <f t="shared" si="7"/>
        <v>6877.6190476190477</v>
      </c>
      <c r="F50" s="485">
        <f t="shared" si="8"/>
        <v>45421.373200442838</v>
      </c>
      <c r="G50" s="486">
        <f t="shared" si="9"/>
        <v>12145.296217490657</v>
      </c>
      <c r="H50" s="455">
        <f t="shared" si="10"/>
        <v>12145.296217490657</v>
      </c>
      <c r="I50" s="475">
        <f t="shared" si="3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5"/>
        <v/>
      </c>
      <c r="C51" s="472">
        <f>IF(D11="","-",+C50+1)</f>
        <v>2052</v>
      </c>
      <c r="D51" s="483">
        <f>IF(F50+SUM(E$17:E50)=D$10,F50,D$10-SUM(E$17:E50))</f>
        <v>45421.373200442838</v>
      </c>
      <c r="E51" s="484">
        <f t="shared" si="7"/>
        <v>6877.6190476190477</v>
      </c>
      <c r="F51" s="485">
        <f t="shared" si="8"/>
        <v>38543.754152823793</v>
      </c>
      <c r="G51" s="486">
        <f t="shared" si="9"/>
        <v>11403.811539779164</v>
      </c>
      <c r="H51" s="455">
        <f t="shared" si="10"/>
        <v>11403.811539779164</v>
      </c>
      <c r="I51" s="475">
        <f t="shared" si="3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5"/>
        <v/>
      </c>
      <c r="C52" s="472">
        <f>IF(D11="","-",+C51+1)</f>
        <v>2053</v>
      </c>
      <c r="D52" s="483">
        <f>IF(F51+SUM(E$17:E51)=D$10,F51,D$10-SUM(E$17:E51))</f>
        <v>38543.754152823793</v>
      </c>
      <c r="E52" s="484">
        <f t="shared" si="7"/>
        <v>6877.6190476190477</v>
      </c>
      <c r="F52" s="485">
        <f t="shared" si="8"/>
        <v>31666.135105204747</v>
      </c>
      <c r="G52" s="486">
        <f t="shared" si="9"/>
        <v>10662.32686206767</v>
      </c>
      <c r="H52" s="455">
        <f t="shared" si="10"/>
        <v>10662.32686206767</v>
      </c>
      <c r="I52" s="475">
        <f t="shared" si="3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5"/>
        <v/>
      </c>
      <c r="C53" s="472">
        <f>IF(D11="","-",+C52+1)</f>
        <v>2054</v>
      </c>
      <c r="D53" s="483">
        <f>IF(F52+SUM(E$17:E52)=D$10,F52,D$10-SUM(E$17:E52))</f>
        <v>31666.135105204747</v>
      </c>
      <c r="E53" s="484">
        <f t="shared" si="7"/>
        <v>6877.6190476190477</v>
      </c>
      <c r="F53" s="485">
        <f t="shared" si="8"/>
        <v>24788.516057585701</v>
      </c>
      <c r="G53" s="486">
        <f t="shared" si="9"/>
        <v>9920.8421843561755</v>
      </c>
      <c r="H53" s="455">
        <f t="shared" si="10"/>
        <v>9920.8421843561755</v>
      </c>
      <c r="I53" s="475">
        <f t="shared" si="3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5"/>
        <v/>
      </c>
      <c r="C54" s="472">
        <f>IF(D11="","-",+C53+1)</f>
        <v>2055</v>
      </c>
      <c r="D54" s="483">
        <f>IF(F53+SUM(E$17:E53)=D$10,F53,D$10-SUM(E$17:E53))</f>
        <v>24788.516057585701</v>
      </c>
      <c r="E54" s="484">
        <f t="shared" si="7"/>
        <v>6877.6190476190477</v>
      </c>
      <c r="F54" s="485">
        <f t="shared" si="8"/>
        <v>17910.897009966655</v>
      </c>
      <c r="G54" s="486">
        <f t="shared" si="9"/>
        <v>9179.3575066446811</v>
      </c>
      <c r="H54" s="455">
        <f t="shared" si="10"/>
        <v>9179.3575066446811</v>
      </c>
      <c r="I54" s="475">
        <f t="shared" si="3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5"/>
        <v/>
      </c>
      <c r="C55" s="472">
        <f>IF(D11="","-",+C54+1)</f>
        <v>2056</v>
      </c>
      <c r="D55" s="483">
        <f>IF(F54+SUM(E$17:E54)=D$10,F54,D$10-SUM(E$17:E54))</f>
        <v>17910.897009966655</v>
      </c>
      <c r="E55" s="484">
        <f t="shared" si="7"/>
        <v>6877.6190476190477</v>
      </c>
      <c r="F55" s="485">
        <f t="shared" si="8"/>
        <v>11033.277962347607</v>
      </c>
      <c r="G55" s="486">
        <f t="shared" si="9"/>
        <v>8437.8728289331866</v>
      </c>
      <c r="H55" s="455">
        <f t="shared" si="10"/>
        <v>8437.8728289331866</v>
      </c>
      <c r="I55" s="475">
        <f t="shared" si="3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5"/>
        <v/>
      </c>
      <c r="C56" s="472">
        <f>IF(D11="","-",+C55+1)</f>
        <v>2057</v>
      </c>
      <c r="D56" s="483">
        <f>IF(F55+SUM(E$17:E55)=D$10,F55,D$10-SUM(E$17:E55))</f>
        <v>11033.277962347607</v>
      </c>
      <c r="E56" s="484">
        <f t="shared" si="7"/>
        <v>6877.6190476190477</v>
      </c>
      <c r="F56" s="485">
        <f t="shared" si="8"/>
        <v>4155.6589147285595</v>
      </c>
      <c r="G56" s="486">
        <f t="shared" si="9"/>
        <v>7696.3881512216931</v>
      </c>
      <c r="H56" s="455">
        <f t="shared" si="10"/>
        <v>7696.3881512216931</v>
      </c>
      <c r="I56" s="475">
        <f t="shared" si="3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5"/>
        <v/>
      </c>
      <c r="C57" s="472">
        <f>IF(D11="","-",+C56+1)</f>
        <v>2058</v>
      </c>
      <c r="D57" s="483">
        <f>IF(F56+SUM(E$17:E56)=D$10,F56,D$10-SUM(E$17:E56))</f>
        <v>4155.6589147285595</v>
      </c>
      <c r="E57" s="484">
        <f t="shared" si="7"/>
        <v>4155.6589147285595</v>
      </c>
      <c r="F57" s="485">
        <f t="shared" si="8"/>
        <v>0</v>
      </c>
      <c r="G57" s="486">
        <f t="shared" si="9"/>
        <v>4379.6722971020081</v>
      </c>
      <c r="H57" s="455">
        <f t="shared" si="10"/>
        <v>4379.6722971020081</v>
      </c>
      <c r="I57" s="475">
        <f t="shared" si="3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5"/>
        <v/>
      </c>
      <c r="C58" s="472">
        <f>IF(D11="","-",+C57+1)</f>
        <v>2059</v>
      </c>
      <c r="D58" s="483">
        <f>IF(F57+SUM(E$17:E57)=D$10,F57,D$10-SUM(E$17:E57))</f>
        <v>0</v>
      </c>
      <c r="E58" s="484">
        <f t="shared" si="7"/>
        <v>0</v>
      </c>
      <c r="F58" s="485">
        <f t="shared" si="8"/>
        <v>0</v>
      </c>
      <c r="G58" s="486">
        <f t="shared" si="9"/>
        <v>0</v>
      </c>
      <c r="H58" s="455">
        <f t="shared" si="10"/>
        <v>0</v>
      </c>
      <c r="I58" s="475">
        <f t="shared" si="3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5"/>
        <v/>
      </c>
      <c r="C59" s="472">
        <f>IF(D11="","-",+C58+1)</f>
        <v>2060</v>
      </c>
      <c r="D59" s="483">
        <f>IF(F58+SUM(E$17:E58)=D$10,F58,D$10-SUM(E$17:E58))</f>
        <v>0</v>
      </c>
      <c r="E59" s="484">
        <f t="shared" si="7"/>
        <v>0</v>
      </c>
      <c r="F59" s="485">
        <f t="shared" si="8"/>
        <v>0</v>
      </c>
      <c r="G59" s="486">
        <f t="shared" si="9"/>
        <v>0</v>
      </c>
      <c r="H59" s="455">
        <f t="shared" si="10"/>
        <v>0</v>
      </c>
      <c r="I59" s="475">
        <f t="shared" si="3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5"/>
        <v/>
      </c>
      <c r="C60" s="472">
        <f>IF(D11="","-",+C59+1)</f>
        <v>2061</v>
      </c>
      <c r="D60" s="483">
        <f>IF(F59+SUM(E$17:E59)=D$10,F59,D$10-SUM(E$17:E59))</f>
        <v>0</v>
      </c>
      <c r="E60" s="484">
        <f t="shared" si="7"/>
        <v>0</v>
      </c>
      <c r="F60" s="485">
        <f t="shared" si="8"/>
        <v>0</v>
      </c>
      <c r="G60" s="486">
        <f t="shared" si="9"/>
        <v>0</v>
      </c>
      <c r="H60" s="455">
        <f t="shared" si="10"/>
        <v>0</v>
      </c>
      <c r="I60" s="475">
        <f t="shared" si="3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5"/>
        <v/>
      </c>
      <c r="C61" s="472">
        <f>IF(D11="","-",+C60+1)</f>
        <v>2062</v>
      </c>
      <c r="D61" s="483">
        <f>IF(F60+SUM(E$17:E60)=D$10,F60,D$10-SUM(E$17:E60))</f>
        <v>0</v>
      </c>
      <c r="E61" s="484">
        <f t="shared" si="7"/>
        <v>0</v>
      </c>
      <c r="F61" s="485">
        <f t="shared" si="8"/>
        <v>0</v>
      </c>
      <c r="G61" s="486">
        <f t="shared" si="9"/>
        <v>0</v>
      </c>
      <c r="H61" s="455">
        <f t="shared" si="10"/>
        <v>0</v>
      </c>
      <c r="I61" s="475">
        <f t="shared" si="3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5"/>
        <v/>
      </c>
      <c r="C62" s="472">
        <f>IF(D11="","-",+C61+1)</f>
        <v>2063</v>
      </c>
      <c r="D62" s="483">
        <f>IF(F61+SUM(E$17:E61)=D$10,F61,D$10-SUM(E$17:E61))</f>
        <v>0</v>
      </c>
      <c r="E62" s="484">
        <f t="shared" si="7"/>
        <v>0</v>
      </c>
      <c r="F62" s="485">
        <f t="shared" si="8"/>
        <v>0</v>
      </c>
      <c r="G62" s="486">
        <f t="shared" si="9"/>
        <v>0</v>
      </c>
      <c r="H62" s="455">
        <f t="shared" si="10"/>
        <v>0</v>
      </c>
      <c r="I62" s="475">
        <f t="shared" si="3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5"/>
        <v/>
      </c>
      <c r="C63" s="472">
        <f>IF(D11="","-",+C62+1)</f>
        <v>2064</v>
      </c>
      <c r="D63" s="483">
        <f>IF(F62+SUM(E$17:E62)=D$10,F62,D$10-SUM(E$17:E62))</f>
        <v>0</v>
      </c>
      <c r="E63" s="484">
        <f t="shared" si="7"/>
        <v>0</v>
      </c>
      <c r="F63" s="485">
        <f t="shared" si="8"/>
        <v>0</v>
      </c>
      <c r="G63" s="486">
        <f t="shared" si="9"/>
        <v>0</v>
      </c>
      <c r="H63" s="455">
        <f t="shared" si="10"/>
        <v>0</v>
      </c>
      <c r="I63" s="475">
        <f t="shared" si="3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5"/>
        <v/>
      </c>
      <c r="C64" s="472">
        <f>IF(D11="","-",+C63+1)</f>
        <v>2065</v>
      </c>
      <c r="D64" s="483">
        <f>IF(F63+SUM(E$17:E63)=D$10,F63,D$10-SUM(E$17:E63))</f>
        <v>0</v>
      </c>
      <c r="E64" s="484">
        <f t="shared" si="7"/>
        <v>0</v>
      </c>
      <c r="F64" s="485">
        <f t="shared" si="8"/>
        <v>0</v>
      </c>
      <c r="G64" s="486">
        <f t="shared" si="9"/>
        <v>0</v>
      </c>
      <c r="H64" s="455">
        <f t="shared" si="10"/>
        <v>0</v>
      </c>
      <c r="I64" s="475">
        <f t="shared" si="3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5"/>
        <v/>
      </c>
      <c r="C65" s="472">
        <f>IF(D11="","-",+C64+1)</f>
        <v>2066</v>
      </c>
      <c r="D65" s="483">
        <f>IF(F64+SUM(E$17:E64)=D$10,F64,D$10-SUM(E$17:E64))</f>
        <v>0</v>
      </c>
      <c r="E65" s="484">
        <f t="shared" si="7"/>
        <v>0</v>
      </c>
      <c r="F65" s="485">
        <f t="shared" si="8"/>
        <v>0</v>
      </c>
      <c r="G65" s="486">
        <f t="shared" si="9"/>
        <v>0</v>
      </c>
      <c r="H65" s="455">
        <f t="shared" si="10"/>
        <v>0</v>
      </c>
      <c r="I65" s="475">
        <f t="shared" si="3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5"/>
        <v/>
      </c>
      <c r="C66" s="472">
        <f>IF(D11="","-",+C65+1)</f>
        <v>2067</v>
      </c>
      <c r="D66" s="483">
        <f>IF(F65+SUM(E$17:E65)=D$10,F65,D$10-SUM(E$17:E65))</f>
        <v>0</v>
      </c>
      <c r="E66" s="484">
        <f t="shared" si="7"/>
        <v>0</v>
      </c>
      <c r="F66" s="485">
        <f t="shared" si="8"/>
        <v>0</v>
      </c>
      <c r="G66" s="486">
        <f t="shared" si="9"/>
        <v>0</v>
      </c>
      <c r="H66" s="455">
        <f t="shared" si="10"/>
        <v>0</v>
      </c>
      <c r="I66" s="475">
        <f t="shared" si="3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5"/>
        <v/>
      </c>
      <c r="C67" s="472">
        <f>IF(D11="","-",+C66+1)</f>
        <v>2068</v>
      </c>
      <c r="D67" s="483">
        <f>IF(F66+SUM(E$17:E66)=D$10,F66,D$10-SUM(E$17:E66))</f>
        <v>0</v>
      </c>
      <c r="E67" s="484">
        <f t="shared" si="7"/>
        <v>0</v>
      </c>
      <c r="F67" s="485">
        <f t="shared" si="8"/>
        <v>0</v>
      </c>
      <c r="G67" s="486">
        <f t="shared" si="9"/>
        <v>0</v>
      </c>
      <c r="H67" s="455">
        <f t="shared" si="10"/>
        <v>0</v>
      </c>
      <c r="I67" s="475">
        <f t="shared" si="3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5"/>
        <v/>
      </c>
      <c r="C68" s="472">
        <f>IF(D11="","-",+C67+1)</f>
        <v>2069</v>
      </c>
      <c r="D68" s="483">
        <f>IF(F67+SUM(E$17:E67)=D$10,F67,D$10-SUM(E$17:E67))</f>
        <v>0</v>
      </c>
      <c r="E68" s="484">
        <f t="shared" si="7"/>
        <v>0</v>
      </c>
      <c r="F68" s="485">
        <f t="shared" si="8"/>
        <v>0</v>
      </c>
      <c r="G68" s="486">
        <f t="shared" si="9"/>
        <v>0</v>
      </c>
      <c r="H68" s="455">
        <f t="shared" si="10"/>
        <v>0</v>
      </c>
      <c r="I68" s="475">
        <f t="shared" si="3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5"/>
        <v/>
      </c>
      <c r="C69" s="472">
        <f>IF(D11="","-",+C68+1)</f>
        <v>2070</v>
      </c>
      <c r="D69" s="483">
        <f>IF(F68+SUM(E$17:E68)=D$10,F68,D$10-SUM(E$17:E68))</f>
        <v>0</v>
      </c>
      <c r="E69" s="484">
        <f t="shared" si="7"/>
        <v>0</v>
      </c>
      <c r="F69" s="485">
        <f t="shared" si="8"/>
        <v>0</v>
      </c>
      <c r="G69" s="486">
        <f t="shared" si="9"/>
        <v>0</v>
      </c>
      <c r="H69" s="455">
        <f t="shared" si="10"/>
        <v>0</v>
      </c>
      <c r="I69" s="475">
        <f t="shared" si="3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5"/>
        <v/>
      </c>
      <c r="C70" s="472">
        <f>IF(D11="","-",+C69+1)</f>
        <v>2071</v>
      </c>
      <c r="D70" s="483">
        <f>IF(F69+SUM(E$17:E69)=D$10,F69,D$10-SUM(E$17:E69))</f>
        <v>0</v>
      </c>
      <c r="E70" s="484">
        <f t="shared" si="7"/>
        <v>0</v>
      </c>
      <c r="F70" s="485">
        <f t="shared" si="8"/>
        <v>0</v>
      </c>
      <c r="G70" s="486">
        <f t="shared" si="9"/>
        <v>0</v>
      </c>
      <c r="H70" s="455">
        <f t="shared" si="10"/>
        <v>0</v>
      </c>
      <c r="I70" s="475">
        <f t="shared" si="3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5"/>
        <v/>
      </c>
      <c r="C71" s="472">
        <f>IF(D11="","-",+C70+1)</f>
        <v>2072</v>
      </c>
      <c r="D71" s="483">
        <f>IF(F70+SUM(E$17:E70)=D$10,F70,D$10-SUM(E$17:E70))</f>
        <v>0</v>
      </c>
      <c r="E71" s="484">
        <f t="shared" si="7"/>
        <v>0</v>
      </c>
      <c r="F71" s="485">
        <f t="shared" si="8"/>
        <v>0</v>
      </c>
      <c r="G71" s="486">
        <f t="shared" si="9"/>
        <v>0</v>
      </c>
      <c r="H71" s="455">
        <f t="shared" si="10"/>
        <v>0</v>
      </c>
      <c r="I71" s="475">
        <f t="shared" si="3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2073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288860</v>
      </c>
      <c r="F73" s="347"/>
      <c r="G73" s="347">
        <f>SUM(G17:G72)</f>
        <v>973360.11326805118</v>
      </c>
      <c r="H73" s="347">
        <f>SUM(H17:H72)</f>
        <v>973360.11326805118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25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35671.491974766584</v>
      </c>
      <c r="N87" s="508">
        <f>IF(J92&lt;D11,0,VLOOKUP(J92,C17:O72,11))</f>
        <v>35671.491974766584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38418.229655174066</v>
      </c>
      <c r="N88" s="512">
        <f>IF(J92&lt;D11,0,VLOOKUP(J92,C99:P154,7))</f>
        <v>38418.229655174066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Fort Towson-Valliant Line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2746.7376804074811</v>
      </c>
      <c r="N89" s="517">
        <f>+N88-N87</f>
        <v>2746.7376804074811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TP2015204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288860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6878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2018</v>
      </c>
      <c r="D99" s="584">
        <v>0</v>
      </c>
      <c r="E99" s="608">
        <v>3512.5</v>
      </c>
      <c r="F99" s="584">
        <v>298567.5</v>
      </c>
      <c r="G99" s="608">
        <v>149283.75</v>
      </c>
      <c r="H99" s="587">
        <v>18849.250674297917</v>
      </c>
      <c r="I99" s="607">
        <v>18849.250674297917</v>
      </c>
      <c r="J99" s="478">
        <f>+I99-H99</f>
        <v>0</v>
      </c>
      <c r="K99" s="478"/>
      <c r="L99" s="477">
        <f>+H99</f>
        <v>18849.250674297917</v>
      </c>
      <c r="M99" s="477">
        <f t="shared" ref="M99" si="11">IF(L99&lt;&gt;0,+H99-L99,0)</f>
        <v>0</v>
      </c>
      <c r="N99" s="477">
        <f>+I99</f>
        <v>18849.250674297917</v>
      </c>
      <c r="O99" s="477">
        <f t="shared" ref="O99" si="12">IF(N99&lt;&gt;0,+I99-N99,0)</f>
        <v>0</v>
      </c>
      <c r="P99" s="477">
        <f t="shared" ref="P99" si="13">+O99-M99</f>
        <v>0</v>
      </c>
    </row>
    <row r="100" spans="1:16">
      <c r="B100" s="160" t="str">
        <f>IF(D100=F99,"","IU")</f>
        <v>IU</v>
      </c>
      <c r="C100" s="472">
        <f>IF(D93="","-",+C99+1)</f>
        <v>2019</v>
      </c>
      <c r="D100" s="578">
        <v>285347.5</v>
      </c>
      <c r="E100" s="579">
        <v>7045</v>
      </c>
      <c r="F100" s="578">
        <v>278302.5</v>
      </c>
      <c r="G100" s="579">
        <v>281825</v>
      </c>
      <c r="H100" s="602">
        <v>36105.110400173638</v>
      </c>
      <c r="I100" s="578">
        <v>36105.110400173638</v>
      </c>
      <c r="J100" s="478">
        <f t="shared" ref="J100:J130" si="14">+I100-H100</f>
        <v>0</v>
      </c>
      <c r="K100" s="478"/>
      <c r="L100" s="476">
        <f>H100</f>
        <v>36105.110400173638</v>
      </c>
      <c r="M100" s="348">
        <f>IF(L100&lt;&gt;0,+H100-L100,0)</f>
        <v>0</v>
      </c>
      <c r="N100" s="476">
        <f>I100</f>
        <v>36105.110400173638</v>
      </c>
      <c r="O100" s="478">
        <f t="shared" ref="O100:O130" si="15">IF(N100&lt;&gt;0,+I100-N100,0)</f>
        <v>0</v>
      </c>
      <c r="P100" s="478">
        <f t="shared" ref="P100:P130" si="16">+O100-M100</f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2020</v>
      </c>
      <c r="D101" s="578">
        <v>278302.5</v>
      </c>
      <c r="E101" s="579">
        <v>6718</v>
      </c>
      <c r="F101" s="578">
        <v>271584.5</v>
      </c>
      <c r="G101" s="579">
        <v>274943.5</v>
      </c>
      <c r="H101" s="602">
        <v>38418.229655174066</v>
      </c>
      <c r="I101" s="578">
        <v>38418.229655174066</v>
      </c>
      <c r="J101" s="478">
        <f t="shared" si="14"/>
        <v>0</v>
      </c>
      <c r="K101" s="478"/>
      <c r="L101" s="476">
        <f>H101</f>
        <v>38418.229655174066</v>
      </c>
      <c r="M101" s="348">
        <f>IF(L101&lt;&gt;0,+H101-L101,0)</f>
        <v>0</v>
      </c>
      <c r="N101" s="476">
        <f>I101</f>
        <v>38418.229655174066</v>
      </c>
      <c r="O101" s="478">
        <f t="shared" si="15"/>
        <v>0</v>
      </c>
      <c r="P101" s="478">
        <f t="shared" si="16"/>
        <v>0</v>
      </c>
    </row>
    <row r="102" spans="1:16">
      <c r="B102" s="160" t="str">
        <f t="shared" si="17"/>
        <v/>
      </c>
      <c r="C102" s="472">
        <f>IF(D93="","-",+C101+1)</f>
        <v>2021</v>
      </c>
      <c r="D102" s="346">
        <f>IF(F101+SUM(E$99:E101)=D$92,F101,D$92-SUM(E$99:E101))</f>
        <v>271584.5</v>
      </c>
      <c r="E102" s="484">
        <f t="shared" ref="E102:E154" si="18">IF(+J$96&lt;F101,J$96,D102)</f>
        <v>6878</v>
      </c>
      <c r="F102" s="485">
        <f t="shared" ref="F102:F154" si="19">+D102-E102</f>
        <v>264706.5</v>
      </c>
      <c r="G102" s="485">
        <f t="shared" ref="G102:G154" si="20">+(F102+D102)/2</f>
        <v>268145.5</v>
      </c>
      <c r="H102" s="613">
        <f t="shared" ref="H102:H154" si="21">+J$94*G102+E102</f>
        <v>35787.100412608444</v>
      </c>
      <c r="I102" s="614">
        <f t="shared" ref="I102:I154" si="22">+J$95*G102+E102</f>
        <v>35787.100412608444</v>
      </c>
      <c r="J102" s="478">
        <f t="shared" si="14"/>
        <v>0</v>
      </c>
      <c r="K102" s="478"/>
      <c r="L102" s="487"/>
      <c r="M102" s="478">
        <f t="shared" ref="M102:M130" si="23">IF(L102&lt;&gt;0,+H102-L102,0)</f>
        <v>0</v>
      </c>
      <c r="N102" s="487"/>
      <c r="O102" s="478">
        <f t="shared" si="15"/>
        <v>0</v>
      </c>
      <c r="P102" s="478">
        <f t="shared" si="16"/>
        <v>0</v>
      </c>
    </row>
    <row r="103" spans="1:16">
      <c r="B103" s="160" t="str">
        <f t="shared" si="17"/>
        <v/>
      </c>
      <c r="C103" s="472">
        <f>IF(D93="","-",+C102+1)</f>
        <v>2022</v>
      </c>
      <c r="D103" s="346">
        <f>IF(F102+SUM(E$99:E102)=D$92,F102,D$92-SUM(E$99:E102))</f>
        <v>264706.5</v>
      </c>
      <c r="E103" s="484">
        <f t="shared" si="18"/>
        <v>6878</v>
      </c>
      <c r="F103" s="485">
        <f t="shared" si="19"/>
        <v>257828.5</v>
      </c>
      <c r="G103" s="485">
        <f t="shared" si="20"/>
        <v>261267.5</v>
      </c>
      <c r="H103" s="613">
        <f t="shared" si="21"/>
        <v>35045.574663946165</v>
      </c>
      <c r="I103" s="614">
        <f t="shared" si="22"/>
        <v>35045.574663946165</v>
      </c>
      <c r="J103" s="478">
        <f t="shared" si="14"/>
        <v>0</v>
      </c>
      <c r="K103" s="478"/>
      <c r="L103" s="487"/>
      <c r="M103" s="478">
        <f t="shared" si="23"/>
        <v>0</v>
      </c>
      <c r="N103" s="487"/>
      <c r="O103" s="478">
        <f t="shared" si="15"/>
        <v>0</v>
      </c>
      <c r="P103" s="478">
        <f t="shared" si="16"/>
        <v>0</v>
      </c>
    </row>
    <row r="104" spans="1:16">
      <c r="B104" s="160" t="str">
        <f t="shared" si="17"/>
        <v/>
      </c>
      <c r="C104" s="472">
        <f>IF(D93="","-",+C103+1)</f>
        <v>2023</v>
      </c>
      <c r="D104" s="346">
        <f>IF(F103+SUM(E$99:E103)=D$92,F103,D$92-SUM(E$99:E103))</f>
        <v>257828.5</v>
      </c>
      <c r="E104" s="484">
        <f t="shared" si="18"/>
        <v>6878</v>
      </c>
      <c r="F104" s="485">
        <f t="shared" si="19"/>
        <v>250950.5</v>
      </c>
      <c r="G104" s="485">
        <f t="shared" si="20"/>
        <v>254389.5</v>
      </c>
      <c r="H104" s="613">
        <f t="shared" si="21"/>
        <v>34304.048915283885</v>
      </c>
      <c r="I104" s="614">
        <f t="shared" si="22"/>
        <v>34304.048915283885</v>
      </c>
      <c r="J104" s="478">
        <f t="shared" si="14"/>
        <v>0</v>
      </c>
      <c r="K104" s="478"/>
      <c r="L104" s="487"/>
      <c r="M104" s="478">
        <f t="shared" si="23"/>
        <v>0</v>
      </c>
      <c r="N104" s="487"/>
      <c r="O104" s="478">
        <f t="shared" si="15"/>
        <v>0</v>
      </c>
      <c r="P104" s="478">
        <f t="shared" si="16"/>
        <v>0</v>
      </c>
    </row>
    <row r="105" spans="1:16">
      <c r="B105" s="160" t="str">
        <f t="shared" si="17"/>
        <v/>
      </c>
      <c r="C105" s="472">
        <f>IF(D93="","-",+C104+1)</f>
        <v>2024</v>
      </c>
      <c r="D105" s="346">
        <f>IF(F104+SUM(E$99:E104)=D$92,F104,D$92-SUM(E$99:E104))</f>
        <v>250950.5</v>
      </c>
      <c r="E105" s="484">
        <f t="shared" si="18"/>
        <v>6878</v>
      </c>
      <c r="F105" s="485">
        <f t="shared" si="19"/>
        <v>244072.5</v>
      </c>
      <c r="G105" s="485">
        <f t="shared" si="20"/>
        <v>247511.5</v>
      </c>
      <c r="H105" s="613">
        <f t="shared" si="21"/>
        <v>33562.523166621613</v>
      </c>
      <c r="I105" s="614">
        <f t="shared" si="22"/>
        <v>33562.523166621613</v>
      </c>
      <c r="J105" s="478">
        <f t="shared" si="14"/>
        <v>0</v>
      </c>
      <c r="K105" s="478"/>
      <c r="L105" s="487"/>
      <c r="M105" s="478">
        <f t="shared" si="23"/>
        <v>0</v>
      </c>
      <c r="N105" s="487"/>
      <c r="O105" s="478">
        <f t="shared" si="15"/>
        <v>0</v>
      </c>
      <c r="P105" s="478">
        <f t="shared" si="16"/>
        <v>0</v>
      </c>
    </row>
    <row r="106" spans="1:16">
      <c r="B106" s="160" t="str">
        <f t="shared" si="17"/>
        <v/>
      </c>
      <c r="C106" s="472">
        <f>IF(D93="","-",+C105+1)</f>
        <v>2025</v>
      </c>
      <c r="D106" s="346">
        <f>IF(F105+SUM(E$99:E105)=D$92,F105,D$92-SUM(E$99:E105))</f>
        <v>244072.5</v>
      </c>
      <c r="E106" s="484">
        <f t="shared" si="18"/>
        <v>6878</v>
      </c>
      <c r="F106" s="485">
        <f t="shared" si="19"/>
        <v>237194.5</v>
      </c>
      <c r="G106" s="485">
        <f t="shared" si="20"/>
        <v>240633.5</v>
      </c>
      <c r="H106" s="613">
        <f t="shared" si="21"/>
        <v>32820.997417959326</v>
      </c>
      <c r="I106" s="614">
        <f t="shared" si="22"/>
        <v>32820.997417959326</v>
      </c>
      <c r="J106" s="478">
        <f t="shared" si="14"/>
        <v>0</v>
      </c>
      <c r="K106" s="478"/>
      <c r="L106" s="487"/>
      <c r="M106" s="478">
        <f t="shared" si="23"/>
        <v>0</v>
      </c>
      <c r="N106" s="487"/>
      <c r="O106" s="478">
        <f t="shared" si="15"/>
        <v>0</v>
      </c>
      <c r="P106" s="478">
        <f t="shared" si="16"/>
        <v>0</v>
      </c>
    </row>
    <row r="107" spans="1:16">
      <c r="B107" s="160" t="str">
        <f t="shared" si="17"/>
        <v/>
      </c>
      <c r="C107" s="472">
        <f>IF(D93="","-",+C106+1)</f>
        <v>2026</v>
      </c>
      <c r="D107" s="346">
        <f>IF(F106+SUM(E$99:E106)=D$92,F106,D$92-SUM(E$99:E106))</f>
        <v>237194.5</v>
      </c>
      <c r="E107" s="484">
        <f t="shared" si="18"/>
        <v>6878</v>
      </c>
      <c r="F107" s="485">
        <f t="shared" si="19"/>
        <v>230316.5</v>
      </c>
      <c r="G107" s="485">
        <f t="shared" si="20"/>
        <v>233755.5</v>
      </c>
      <c r="H107" s="613">
        <f t="shared" si="21"/>
        <v>32079.471669297054</v>
      </c>
      <c r="I107" s="614">
        <f t="shared" si="22"/>
        <v>32079.471669297054</v>
      </c>
      <c r="J107" s="478">
        <f t="shared" si="14"/>
        <v>0</v>
      </c>
      <c r="K107" s="478"/>
      <c r="L107" s="487"/>
      <c r="M107" s="478">
        <f t="shared" si="23"/>
        <v>0</v>
      </c>
      <c r="N107" s="487"/>
      <c r="O107" s="478">
        <f t="shared" si="15"/>
        <v>0</v>
      </c>
      <c r="P107" s="478">
        <f t="shared" si="16"/>
        <v>0</v>
      </c>
    </row>
    <row r="108" spans="1:16">
      <c r="B108" s="160" t="str">
        <f t="shared" si="17"/>
        <v/>
      </c>
      <c r="C108" s="472">
        <f>IF(D93="","-",+C107+1)</f>
        <v>2027</v>
      </c>
      <c r="D108" s="346">
        <f>IF(F107+SUM(E$99:E107)=D$92,F107,D$92-SUM(E$99:E107))</f>
        <v>230316.5</v>
      </c>
      <c r="E108" s="484">
        <f t="shared" si="18"/>
        <v>6878</v>
      </c>
      <c r="F108" s="485">
        <f t="shared" si="19"/>
        <v>223438.5</v>
      </c>
      <c r="G108" s="485">
        <f t="shared" si="20"/>
        <v>226877.5</v>
      </c>
      <c r="H108" s="613">
        <f t="shared" si="21"/>
        <v>31337.945920634775</v>
      </c>
      <c r="I108" s="614">
        <f t="shared" si="22"/>
        <v>31337.945920634775</v>
      </c>
      <c r="J108" s="478">
        <f t="shared" si="14"/>
        <v>0</v>
      </c>
      <c r="K108" s="478"/>
      <c r="L108" s="487"/>
      <c r="M108" s="478">
        <f t="shared" si="23"/>
        <v>0</v>
      </c>
      <c r="N108" s="487"/>
      <c r="O108" s="478">
        <f t="shared" si="15"/>
        <v>0</v>
      </c>
      <c r="P108" s="478">
        <f t="shared" si="16"/>
        <v>0</v>
      </c>
    </row>
    <row r="109" spans="1:16">
      <c r="B109" s="160" t="str">
        <f t="shared" si="17"/>
        <v/>
      </c>
      <c r="C109" s="472">
        <f>IF(D93="","-",+C108+1)</f>
        <v>2028</v>
      </c>
      <c r="D109" s="346">
        <f>IF(F108+SUM(E$99:E108)=D$92,F108,D$92-SUM(E$99:E108))</f>
        <v>223438.5</v>
      </c>
      <c r="E109" s="484">
        <f t="shared" si="18"/>
        <v>6878</v>
      </c>
      <c r="F109" s="485">
        <f t="shared" si="19"/>
        <v>216560.5</v>
      </c>
      <c r="G109" s="485">
        <f t="shared" si="20"/>
        <v>219999.5</v>
      </c>
      <c r="H109" s="613">
        <f t="shared" si="21"/>
        <v>30596.420171972499</v>
      </c>
      <c r="I109" s="614">
        <f t="shared" si="22"/>
        <v>30596.420171972499</v>
      </c>
      <c r="J109" s="478">
        <f t="shared" si="14"/>
        <v>0</v>
      </c>
      <c r="K109" s="478"/>
      <c r="L109" s="487"/>
      <c r="M109" s="478">
        <f t="shared" si="23"/>
        <v>0</v>
      </c>
      <c r="N109" s="487"/>
      <c r="O109" s="478">
        <f t="shared" si="15"/>
        <v>0</v>
      </c>
      <c r="P109" s="478">
        <f t="shared" si="16"/>
        <v>0</v>
      </c>
    </row>
    <row r="110" spans="1:16">
      <c r="B110" s="160" t="str">
        <f t="shared" si="17"/>
        <v/>
      </c>
      <c r="C110" s="472">
        <f>IF(D93="","-",+C109+1)</f>
        <v>2029</v>
      </c>
      <c r="D110" s="346">
        <f>IF(F109+SUM(E$99:E109)=D$92,F109,D$92-SUM(E$99:E109))</f>
        <v>216560.5</v>
      </c>
      <c r="E110" s="484">
        <f t="shared" si="18"/>
        <v>6878</v>
      </c>
      <c r="F110" s="485">
        <f t="shared" si="19"/>
        <v>209682.5</v>
      </c>
      <c r="G110" s="485">
        <f t="shared" si="20"/>
        <v>213121.5</v>
      </c>
      <c r="H110" s="613">
        <f t="shared" si="21"/>
        <v>29854.894423310219</v>
      </c>
      <c r="I110" s="614">
        <f t="shared" si="22"/>
        <v>29854.894423310219</v>
      </c>
      <c r="J110" s="478">
        <f t="shared" si="14"/>
        <v>0</v>
      </c>
      <c r="K110" s="478"/>
      <c r="L110" s="487"/>
      <c r="M110" s="478">
        <f t="shared" si="23"/>
        <v>0</v>
      </c>
      <c r="N110" s="487"/>
      <c r="O110" s="478">
        <f t="shared" si="15"/>
        <v>0</v>
      </c>
      <c r="P110" s="478">
        <f t="shared" si="16"/>
        <v>0</v>
      </c>
    </row>
    <row r="111" spans="1:16">
      <c r="B111" s="160" t="str">
        <f t="shared" si="17"/>
        <v/>
      </c>
      <c r="C111" s="472">
        <f>IF(D93="","-",+C110+1)</f>
        <v>2030</v>
      </c>
      <c r="D111" s="346">
        <f>IF(F110+SUM(E$99:E110)=D$92,F110,D$92-SUM(E$99:E110))</f>
        <v>209682.5</v>
      </c>
      <c r="E111" s="484">
        <f t="shared" si="18"/>
        <v>6878</v>
      </c>
      <c r="F111" s="485">
        <f t="shared" si="19"/>
        <v>202804.5</v>
      </c>
      <c r="G111" s="485">
        <f t="shared" si="20"/>
        <v>206243.5</v>
      </c>
      <c r="H111" s="613">
        <f t="shared" si="21"/>
        <v>29113.36867464794</v>
      </c>
      <c r="I111" s="614">
        <f t="shared" si="22"/>
        <v>29113.36867464794</v>
      </c>
      <c r="J111" s="478">
        <f t="shared" si="14"/>
        <v>0</v>
      </c>
      <c r="K111" s="478"/>
      <c r="L111" s="487"/>
      <c r="M111" s="478">
        <f t="shared" si="23"/>
        <v>0</v>
      </c>
      <c r="N111" s="487"/>
      <c r="O111" s="478">
        <f t="shared" si="15"/>
        <v>0</v>
      </c>
      <c r="P111" s="478">
        <f t="shared" si="16"/>
        <v>0</v>
      </c>
    </row>
    <row r="112" spans="1:16">
      <c r="B112" s="160" t="str">
        <f t="shared" si="17"/>
        <v/>
      </c>
      <c r="C112" s="472">
        <f>IF(D93="","-",+C111+1)</f>
        <v>2031</v>
      </c>
      <c r="D112" s="346">
        <f>IF(F111+SUM(E$99:E111)=D$92,F111,D$92-SUM(E$99:E111))</f>
        <v>202804.5</v>
      </c>
      <c r="E112" s="484">
        <f t="shared" si="18"/>
        <v>6878</v>
      </c>
      <c r="F112" s="485">
        <f t="shared" si="19"/>
        <v>195926.5</v>
      </c>
      <c r="G112" s="485">
        <f t="shared" si="20"/>
        <v>199365.5</v>
      </c>
      <c r="H112" s="613">
        <f t="shared" si="21"/>
        <v>28371.842925985664</v>
      </c>
      <c r="I112" s="614">
        <f t="shared" si="22"/>
        <v>28371.842925985664</v>
      </c>
      <c r="J112" s="478">
        <f t="shared" si="14"/>
        <v>0</v>
      </c>
      <c r="K112" s="478"/>
      <c r="L112" s="487"/>
      <c r="M112" s="478">
        <f t="shared" si="23"/>
        <v>0</v>
      </c>
      <c r="N112" s="487"/>
      <c r="O112" s="478">
        <f t="shared" si="15"/>
        <v>0</v>
      </c>
      <c r="P112" s="478">
        <f t="shared" si="16"/>
        <v>0</v>
      </c>
    </row>
    <row r="113" spans="2:16">
      <c r="B113" s="160" t="str">
        <f t="shared" si="17"/>
        <v/>
      </c>
      <c r="C113" s="472">
        <f>IF(D93="","-",+C112+1)</f>
        <v>2032</v>
      </c>
      <c r="D113" s="346">
        <f>IF(F112+SUM(E$99:E112)=D$92,F112,D$92-SUM(E$99:E112))</f>
        <v>195926.5</v>
      </c>
      <c r="E113" s="484">
        <f t="shared" si="18"/>
        <v>6878</v>
      </c>
      <c r="F113" s="485">
        <f t="shared" si="19"/>
        <v>189048.5</v>
      </c>
      <c r="G113" s="485">
        <f t="shared" si="20"/>
        <v>192487.5</v>
      </c>
      <c r="H113" s="613">
        <f t="shared" si="21"/>
        <v>27630.317177323384</v>
      </c>
      <c r="I113" s="614">
        <f t="shared" si="22"/>
        <v>27630.317177323384</v>
      </c>
      <c r="J113" s="478">
        <f t="shared" si="14"/>
        <v>0</v>
      </c>
      <c r="K113" s="478"/>
      <c r="L113" s="487"/>
      <c r="M113" s="478">
        <f t="shared" si="23"/>
        <v>0</v>
      </c>
      <c r="N113" s="487"/>
      <c r="O113" s="478">
        <f t="shared" si="15"/>
        <v>0</v>
      </c>
      <c r="P113" s="478">
        <f t="shared" si="16"/>
        <v>0</v>
      </c>
    </row>
    <row r="114" spans="2:16">
      <c r="B114" s="160" t="str">
        <f t="shared" si="17"/>
        <v/>
      </c>
      <c r="C114" s="472">
        <f>IF(D93="","-",+C113+1)</f>
        <v>2033</v>
      </c>
      <c r="D114" s="346">
        <f>IF(F113+SUM(E$99:E113)=D$92,F113,D$92-SUM(E$99:E113))</f>
        <v>189048.5</v>
      </c>
      <c r="E114" s="484">
        <f t="shared" si="18"/>
        <v>6878</v>
      </c>
      <c r="F114" s="485">
        <f t="shared" si="19"/>
        <v>182170.5</v>
      </c>
      <c r="G114" s="485">
        <f t="shared" si="20"/>
        <v>185609.5</v>
      </c>
      <c r="H114" s="613">
        <f t="shared" si="21"/>
        <v>26888.791428661109</v>
      </c>
      <c r="I114" s="614">
        <f t="shared" si="22"/>
        <v>26888.791428661109</v>
      </c>
      <c r="J114" s="478">
        <f t="shared" si="14"/>
        <v>0</v>
      </c>
      <c r="K114" s="478"/>
      <c r="L114" s="487"/>
      <c r="M114" s="478">
        <f t="shared" si="23"/>
        <v>0</v>
      </c>
      <c r="N114" s="487"/>
      <c r="O114" s="478">
        <f t="shared" si="15"/>
        <v>0</v>
      </c>
      <c r="P114" s="478">
        <f t="shared" si="16"/>
        <v>0</v>
      </c>
    </row>
    <row r="115" spans="2:16">
      <c r="B115" s="160" t="str">
        <f t="shared" si="17"/>
        <v/>
      </c>
      <c r="C115" s="472">
        <f>IF(D93="","-",+C114+1)</f>
        <v>2034</v>
      </c>
      <c r="D115" s="346">
        <f>IF(F114+SUM(E$99:E114)=D$92,F114,D$92-SUM(E$99:E114))</f>
        <v>182170.5</v>
      </c>
      <c r="E115" s="484">
        <f t="shared" si="18"/>
        <v>6878</v>
      </c>
      <c r="F115" s="485">
        <f t="shared" si="19"/>
        <v>175292.5</v>
      </c>
      <c r="G115" s="485">
        <f t="shared" si="20"/>
        <v>178731.5</v>
      </c>
      <c r="H115" s="613">
        <f t="shared" si="21"/>
        <v>26147.265679998829</v>
      </c>
      <c r="I115" s="614">
        <f t="shared" si="22"/>
        <v>26147.265679998829</v>
      </c>
      <c r="J115" s="478">
        <f t="shared" si="14"/>
        <v>0</v>
      </c>
      <c r="K115" s="478"/>
      <c r="L115" s="487"/>
      <c r="M115" s="478">
        <f t="shared" si="23"/>
        <v>0</v>
      </c>
      <c r="N115" s="487"/>
      <c r="O115" s="478">
        <f t="shared" si="15"/>
        <v>0</v>
      </c>
      <c r="P115" s="478">
        <f t="shared" si="16"/>
        <v>0</v>
      </c>
    </row>
    <row r="116" spans="2:16">
      <c r="B116" s="160" t="str">
        <f t="shared" si="17"/>
        <v/>
      </c>
      <c r="C116" s="472">
        <f>IF(D93="","-",+C115+1)</f>
        <v>2035</v>
      </c>
      <c r="D116" s="346">
        <f>IF(F115+SUM(E$99:E115)=D$92,F115,D$92-SUM(E$99:E115))</f>
        <v>175292.5</v>
      </c>
      <c r="E116" s="484">
        <f t="shared" si="18"/>
        <v>6878</v>
      </c>
      <c r="F116" s="485">
        <f t="shared" si="19"/>
        <v>168414.5</v>
      </c>
      <c r="G116" s="485">
        <f t="shared" si="20"/>
        <v>171853.5</v>
      </c>
      <c r="H116" s="613">
        <f t="shared" si="21"/>
        <v>25405.739931336549</v>
      </c>
      <c r="I116" s="614">
        <f t="shared" si="22"/>
        <v>25405.739931336549</v>
      </c>
      <c r="J116" s="478">
        <f t="shared" si="14"/>
        <v>0</v>
      </c>
      <c r="K116" s="478"/>
      <c r="L116" s="487"/>
      <c r="M116" s="478">
        <f t="shared" si="23"/>
        <v>0</v>
      </c>
      <c r="N116" s="487"/>
      <c r="O116" s="478">
        <f t="shared" si="15"/>
        <v>0</v>
      </c>
      <c r="P116" s="478">
        <f t="shared" si="16"/>
        <v>0</v>
      </c>
    </row>
    <row r="117" spans="2:16">
      <c r="B117" s="160" t="str">
        <f t="shared" si="17"/>
        <v/>
      </c>
      <c r="C117" s="472">
        <f>IF(D93="","-",+C116+1)</f>
        <v>2036</v>
      </c>
      <c r="D117" s="346">
        <f>IF(F116+SUM(E$99:E116)=D$92,F116,D$92-SUM(E$99:E116))</f>
        <v>168414.5</v>
      </c>
      <c r="E117" s="484">
        <f t="shared" si="18"/>
        <v>6878</v>
      </c>
      <c r="F117" s="485">
        <f t="shared" si="19"/>
        <v>161536.5</v>
      </c>
      <c r="G117" s="485">
        <f t="shared" si="20"/>
        <v>164975.5</v>
      </c>
      <c r="H117" s="613">
        <f t="shared" si="21"/>
        <v>24664.214182674274</v>
      </c>
      <c r="I117" s="614">
        <f t="shared" si="22"/>
        <v>24664.214182674274</v>
      </c>
      <c r="J117" s="478">
        <f t="shared" si="14"/>
        <v>0</v>
      </c>
      <c r="K117" s="478"/>
      <c r="L117" s="487"/>
      <c r="M117" s="478">
        <f t="shared" si="23"/>
        <v>0</v>
      </c>
      <c r="N117" s="487"/>
      <c r="O117" s="478">
        <f t="shared" si="15"/>
        <v>0</v>
      </c>
      <c r="P117" s="478">
        <f t="shared" si="16"/>
        <v>0</v>
      </c>
    </row>
    <row r="118" spans="2:16">
      <c r="B118" s="160" t="str">
        <f t="shared" si="17"/>
        <v/>
      </c>
      <c r="C118" s="472">
        <f>IF(D93="","-",+C117+1)</f>
        <v>2037</v>
      </c>
      <c r="D118" s="346">
        <f>IF(F117+SUM(E$99:E117)=D$92,F117,D$92-SUM(E$99:E117))</f>
        <v>161536.5</v>
      </c>
      <c r="E118" s="484">
        <f t="shared" si="18"/>
        <v>6878</v>
      </c>
      <c r="F118" s="485">
        <f t="shared" si="19"/>
        <v>154658.5</v>
      </c>
      <c r="G118" s="485">
        <f t="shared" si="20"/>
        <v>158097.5</v>
      </c>
      <c r="H118" s="613">
        <f t="shared" si="21"/>
        <v>23922.688434011994</v>
      </c>
      <c r="I118" s="614">
        <f t="shared" si="22"/>
        <v>23922.688434011994</v>
      </c>
      <c r="J118" s="478">
        <f t="shared" si="14"/>
        <v>0</v>
      </c>
      <c r="K118" s="478"/>
      <c r="L118" s="487"/>
      <c r="M118" s="478">
        <f t="shared" si="23"/>
        <v>0</v>
      </c>
      <c r="N118" s="487"/>
      <c r="O118" s="478">
        <f t="shared" si="15"/>
        <v>0</v>
      </c>
      <c r="P118" s="478">
        <f t="shared" si="16"/>
        <v>0</v>
      </c>
    </row>
    <row r="119" spans="2:16">
      <c r="B119" s="160" t="str">
        <f t="shared" si="17"/>
        <v/>
      </c>
      <c r="C119" s="472">
        <f>IF(D93="","-",+C118+1)</f>
        <v>2038</v>
      </c>
      <c r="D119" s="346">
        <f>IF(F118+SUM(E$99:E118)=D$92,F118,D$92-SUM(E$99:E118))</f>
        <v>154658.5</v>
      </c>
      <c r="E119" s="484">
        <f t="shared" si="18"/>
        <v>6878</v>
      </c>
      <c r="F119" s="485">
        <f t="shared" si="19"/>
        <v>147780.5</v>
      </c>
      <c r="G119" s="485">
        <f t="shared" si="20"/>
        <v>151219.5</v>
      </c>
      <c r="H119" s="613">
        <f t="shared" si="21"/>
        <v>23181.162685349715</v>
      </c>
      <c r="I119" s="614">
        <f t="shared" si="22"/>
        <v>23181.162685349715</v>
      </c>
      <c r="J119" s="478">
        <f t="shared" si="14"/>
        <v>0</v>
      </c>
      <c r="K119" s="478"/>
      <c r="L119" s="487"/>
      <c r="M119" s="478">
        <f t="shared" si="23"/>
        <v>0</v>
      </c>
      <c r="N119" s="487"/>
      <c r="O119" s="478">
        <f t="shared" si="15"/>
        <v>0</v>
      </c>
      <c r="P119" s="478">
        <f t="shared" si="16"/>
        <v>0</v>
      </c>
    </row>
    <row r="120" spans="2:16">
      <c r="B120" s="160" t="str">
        <f t="shared" si="17"/>
        <v/>
      </c>
      <c r="C120" s="472">
        <f>IF(D93="","-",+C119+1)</f>
        <v>2039</v>
      </c>
      <c r="D120" s="346">
        <f>IF(F119+SUM(E$99:E119)=D$92,F119,D$92-SUM(E$99:E119))</f>
        <v>147780.5</v>
      </c>
      <c r="E120" s="484">
        <f t="shared" si="18"/>
        <v>6878</v>
      </c>
      <c r="F120" s="485">
        <f t="shared" si="19"/>
        <v>140902.5</v>
      </c>
      <c r="G120" s="485">
        <f t="shared" si="20"/>
        <v>144341.5</v>
      </c>
      <c r="H120" s="613">
        <f t="shared" si="21"/>
        <v>22439.636936687439</v>
      </c>
      <c r="I120" s="614">
        <f t="shared" si="22"/>
        <v>22439.636936687439</v>
      </c>
      <c r="J120" s="478">
        <f t="shared" si="14"/>
        <v>0</v>
      </c>
      <c r="K120" s="478"/>
      <c r="L120" s="487"/>
      <c r="M120" s="478">
        <f t="shared" si="23"/>
        <v>0</v>
      </c>
      <c r="N120" s="487"/>
      <c r="O120" s="478">
        <f t="shared" si="15"/>
        <v>0</v>
      </c>
      <c r="P120" s="478">
        <f t="shared" si="16"/>
        <v>0</v>
      </c>
    </row>
    <row r="121" spans="2:16">
      <c r="B121" s="160" t="str">
        <f t="shared" si="17"/>
        <v/>
      </c>
      <c r="C121" s="472">
        <f>IF(D93="","-",+C120+1)</f>
        <v>2040</v>
      </c>
      <c r="D121" s="346">
        <f>IF(F120+SUM(E$99:E120)=D$92,F120,D$92-SUM(E$99:E120))</f>
        <v>140902.5</v>
      </c>
      <c r="E121" s="484">
        <f t="shared" si="18"/>
        <v>6878</v>
      </c>
      <c r="F121" s="485">
        <f t="shared" si="19"/>
        <v>134024.5</v>
      </c>
      <c r="G121" s="485">
        <f t="shared" si="20"/>
        <v>137463.5</v>
      </c>
      <c r="H121" s="613">
        <f t="shared" si="21"/>
        <v>21698.111188025163</v>
      </c>
      <c r="I121" s="614">
        <f t="shared" si="22"/>
        <v>21698.111188025163</v>
      </c>
      <c r="J121" s="478">
        <f t="shared" si="14"/>
        <v>0</v>
      </c>
      <c r="K121" s="478"/>
      <c r="L121" s="487"/>
      <c r="M121" s="478">
        <f t="shared" si="23"/>
        <v>0</v>
      </c>
      <c r="N121" s="487"/>
      <c r="O121" s="478">
        <f t="shared" si="15"/>
        <v>0</v>
      </c>
      <c r="P121" s="478">
        <f t="shared" si="16"/>
        <v>0</v>
      </c>
    </row>
    <row r="122" spans="2:16">
      <c r="B122" s="160" t="str">
        <f t="shared" si="17"/>
        <v/>
      </c>
      <c r="C122" s="472">
        <f>IF(D93="","-",+C121+1)</f>
        <v>2041</v>
      </c>
      <c r="D122" s="346">
        <f>IF(F121+SUM(E$99:E121)=D$92,F121,D$92-SUM(E$99:E121))</f>
        <v>134024.5</v>
      </c>
      <c r="E122" s="484">
        <f t="shared" si="18"/>
        <v>6878</v>
      </c>
      <c r="F122" s="485">
        <f t="shared" si="19"/>
        <v>127146.5</v>
      </c>
      <c r="G122" s="485">
        <f t="shared" si="20"/>
        <v>130585.5</v>
      </c>
      <c r="H122" s="613">
        <f t="shared" si="21"/>
        <v>20956.585439362883</v>
      </c>
      <c r="I122" s="614">
        <f t="shared" si="22"/>
        <v>20956.585439362883</v>
      </c>
      <c r="J122" s="478">
        <f t="shared" si="14"/>
        <v>0</v>
      </c>
      <c r="K122" s="478"/>
      <c r="L122" s="487"/>
      <c r="M122" s="478">
        <f t="shared" si="23"/>
        <v>0</v>
      </c>
      <c r="N122" s="487"/>
      <c r="O122" s="478">
        <f t="shared" si="15"/>
        <v>0</v>
      </c>
      <c r="P122" s="478">
        <f t="shared" si="16"/>
        <v>0</v>
      </c>
    </row>
    <row r="123" spans="2:16">
      <c r="B123" s="160" t="str">
        <f t="shared" si="17"/>
        <v/>
      </c>
      <c r="C123" s="472">
        <f>IF(D93="","-",+C122+1)</f>
        <v>2042</v>
      </c>
      <c r="D123" s="346">
        <f>IF(F122+SUM(E$99:E122)=D$92,F122,D$92-SUM(E$99:E122))</f>
        <v>127146.5</v>
      </c>
      <c r="E123" s="484">
        <f t="shared" si="18"/>
        <v>6878</v>
      </c>
      <c r="F123" s="485">
        <f t="shared" si="19"/>
        <v>120268.5</v>
      </c>
      <c r="G123" s="485">
        <f t="shared" si="20"/>
        <v>123707.5</v>
      </c>
      <c r="H123" s="613">
        <f t="shared" si="21"/>
        <v>20215.059690700604</v>
      </c>
      <c r="I123" s="614">
        <f t="shared" si="22"/>
        <v>20215.059690700604</v>
      </c>
      <c r="J123" s="478">
        <f t="shared" si="14"/>
        <v>0</v>
      </c>
      <c r="K123" s="478"/>
      <c r="L123" s="487"/>
      <c r="M123" s="478">
        <f t="shared" si="23"/>
        <v>0</v>
      </c>
      <c r="N123" s="487"/>
      <c r="O123" s="478">
        <f t="shared" si="15"/>
        <v>0</v>
      </c>
      <c r="P123" s="478">
        <f t="shared" si="16"/>
        <v>0</v>
      </c>
    </row>
    <row r="124" spans="2:16">
      <c r="B124" s="160" t="str">
        <f t="shared" si="17"/>
        <v/>
      </c>
      <c r="C124" s="472">
        <f>IF(D93="","-",+C123+1)</f>
        <v>2043</v>
      </c>
      <c r="D124" s="346">
        <f>IF(F123+SUM(E$99:E123)=D$92,F123,D$92-SUM(E$99:E123))</f>
        <v>120268.5</v>
      </c>
      <c r="E124" s="484">
        <f t="shared" si="18"/>
        <v>6878</v>
      </c>
      <c r="F124" s="485">
        <f t="shared" si="19"/>
        <v>113390.5</v>
      </c>
      <c r="G124" s="485">
        <f t="shared" si="20"/>
        <v>116829.5</v>
      </c>
      <c r="H124" s="613">
        <f t="shared" si="21"/>
        <v>19473.533942038324</v>
      </c>
      <c r="I124" s="614">
        <f t="shared" si="22"/>
        <v>19473.533942038324</v>
      </c>
      <c r="J124" s="478">
        <f t="shared" si="14"/>
        <v>0</v>
      </c>
      <c r="K124" s="478"/>
      <c r="L124" s="487"/>
      <c r="M124" s="478">
        <f t="shared" si="23"/>
        <v>0</v>
      </c>
      <c r="N124" s="487"/>
      <c r="O124" s="478">
        <f t="shared" si="15"/>
        <v>0</v>
      </c>
      <c r="P124" s="478">
        <f t="shared" si="16"/>
        <v>0</v>
      </c>
    </row>
    <row r="125" spans="2:16">
      <c r="B125" s="160" t="str">
        <f t="shared" si="17"/>
        <v/>
      </c>
      <c r="C125" s="472">
        <f>IF(D93="","-",+C124+1)</f>
        <v>2044</v>
      </c>
      <c r="D125" s="346">
        <f>IF(F124+SUM(E$99:E124)=D$92,F124,D$92-SUM(E$99:E124))</f>
        <v>113390.5</v>
      </c>
      <c r="E125" s="484">
        <f t="shared" si="18"/>
        <v>6878</v>
      </c>
      <c r="F125" s="485">
        <f t="shared" si="19"/>
        <v>106512.5</v>
      </c>
      <c r="G125" s="485">
        <f t="shared" si="20"/>
        <v>109951.5</v>
      </c>
      <c r="H125" s="613">
        <f t="shared" si="21"/>
        <v>18732.008193376048</v>
      </c>
      <c r="I125" s="614">
        <f t="shared" si="22"/>
        <v>18732.008193376048</v>
      </c>
      <c r="J125" s="478">
        <f t="shared" si="14"/>
        <v>0</v>
      </c>
      <c r="K125" s="478"/>
      <c r="L125" s="487"/>
      <c r="M125" s="478">
        <f t="shared" si="23"/>
        <v>0</v>
      </c>
      <c r="N125" s="487"/>
      <c r="O125" s="478">
        <f t="shared" si="15"/>
        <v>0</v>
      </c>
      <c r="P125" s="478">
        <f t="shared" si="16"/>
        <v>0</v>
      </c>
    </row>
    <row r="126" spans="2:16">
      <c r="B126" s="160" t="str">
        <f t="shared" si="17"/>
        <v/>
      </c>
      <c r="C126" s="472">
        <f>IF(D93="","-",+C125+1)</f>
        <v>2045</v>
      </c>
      <c r="D126" s="346">
        <f>IF(F125+SUM(E$99:E125)=D$92,F125,D$92-SUM(E$99:E125))</f>
        <v>106512.5</v>
      </c>
      <c r="E126" s="484">
        <f t="shared" si="18"/>
        <v>6878</v>
      </c>
      <c r="F126" s="485">
        <f t="shared" si="19"/>
        <v>99634.5</v>
      </c>
      <c r="G126" s="485">
        <f t="shared" si="20"/>
        <v>103073.5</v>
      </c>
      <c r="H126" s="613">
        <f t="shared" si="21"/>
        <v>17990.482444713773</v>
      </c>
      <c r="I126" s="614">
        <f t="shared" si="22"/>
        <v>17990.482444713773</v>
      </c>
      <c r="J126" s="478">
        <f t="shared" si="14"/>
        <v>0</v>
      </c>
      <c r="K126" s="478"/>
      <c r="L126" s="487"/>
      <c r="M126" s="478">
        <f t="shared" si="23"/>
        <v>0</v>
      </c>
      <c r="N126" s="487"/>
      <c r="O126" s="478">
        <f t="shared" si="15"/>
        <v>0</v>
      </c>
      <c r="P126" s="478">
        <f t="shared" si="16"/>
        <v>0</v>
      </c>
    </row>
    <row r="127" spans="2:16">
      <c r="B127" s="160" t="str">
        <f t="shared" si="17"/>
        <v/>
      </c>
      <c r="C127" s="472">
        <f>IF(D93="","-",+C126+1)</f>
        <v>2046</v>
      </c>
      <c r="D127" s="346">
        <f>IF(F126+SUM(E$99:E126)=D$92,F126,D$92-SUM(E$99:E126))</f>
        <v>99634.5</v>
      </c>
      <c r="E127" s="484">
        <f t="shared" si="18"/>
        <v>6878</v>
      </c>
      <c r="F127" s="485">
        <f t="shared" si="19"/>
        <v>92756.5</v>
      </c>
      <c r="G127" s="485">
        <f t="shared" si="20"/>
        <v>96195.5</v>
      </c>
      <c r="H127" s="613">
        <f t="shared" si="21"/>
        <v>17248.956696051493</v>
      </c>
      <c r="I127" s="614">
        <f t="shared" si="22"/>
        <v>17248.956696051493</v>
      </c>
      <c r="J127" s="478">
        <f t="shared" si="14"/>
        <v>0</v>
      </c>
      <c r="K127" s="478"/>
      <c r="L127" s="487"/>
      <c r="M127" s="478">
        <f t="shared" si="23"/>
        <v>0</v>
      </c>
      <c r="N127" s="487"/>
      <c r="O127" s="478">
        <f t="shared" si="15"/>
        <v>0</v>
      </c>
      <c r="P127" s="478">
        <f t="shared" si="16"/>
        <v>0</v>
      </c>
    </row>
    <row r="128" spans="2:16">
      <c r="B128" s="160" t="str">
        <f t="shared" si="17"/>
        <v/>
      </c>
      <c r="C128" s="472">
        <f>IF(D93="","-",+C127+1)</f>
        <v>2047</v>
      </c>
      <c r="D128" s="346">
        <f>IF(F127+SUM(E$99:E127)=D$92,F127,D$92-SUM(E$99:E127))</f>
        <v>92756.5</v>
      </c>
      <c r="E128" s="484">
        <f t="shared" si="18"/>
        <v>6878</v>
      </c>
      <c r="F128" s="485">
        <f t="shared" si="19"/>
        <v>85878.5</v>
      </c>
      <c r="G128" s="485">
        <f t="shared" si="20"/>
        <v>89317.5</v>
      </c>
      <c r="H128" s="613">
        <f t="shared" si="21"/>
        <v>16507.430947389214</v>
      </c>
      <c r="I128" s="614">
        <f t="shared" si="22"/>
        <v>16507.430947389214</v>
      </c>
      <c r="J128" s="478">
        <f t="shared" si="14"/>
        <v>0</v>
      </c>
      <c r="K128" s="478"/>
      <c r="L128" s="487"/>
      <c r="M128" s="478">
        <f t="shared" si="23"/>
        <v>0</v>
      </c>
      <c r="N128" s="487"/>
      <c r="O128" s="478">
        <f t="shared" si="15"/>
        <v>0</v>
      </c>
      <c r="P128" s="478">
        <f t="shared" si="16"/>
        <v>0</v>
      </c>
    </row>
    <row r="129" spans="2:16">
      <c r="B129" s="160" t="str">
        <f t="shared" si="17"/>
        <v/>
      </c>
      <c r="C129" s="472">
        <f>IF(D93="","-",+C128+1)</f>
        <v>2048</v>
      </c>
      <c r="D129" s="346">
        <f>IF(F128+SUM(E$99:E128)=D$92,F128,D$92-SUM(E$99:E128))</f>
        <v>85878.5</v>
      </c>
      <c r="E129" s="484">
        <f t="shared" si="18"/>
        <v>6878</v>
      </c>
      <c r="F129" s="485">
        <f t="shared" si="19"/>
        <v>79000.5</v>
      </c>
      <c r="G129" s="485">
        <f t="shared" si="20"/>
        <v>82439.5</v>
      </c>
      <c r="H129" s="613">
        <f t="shared" si="21"/>
        <v>15765.905198726936</v>
      </c>
      <c r="I129" s="614">
        <f t="shared" si="22"/>
        <v>15765.905198726936</v>
      </c>
      <c r="J129" s="478">
        <f t="shared" si="14"/>
        <v>0</v>
      </c>
      <c r="K129" s="478"/>
      <c r="L129" s="487"/>
      <c r="M129" s="478">
        <f t="shared" si="23"/>
        <v>0</v>
      </c>
      <c r="N129" s="487"/>
      <c r="O129" s="478">
        <f t="shared" si="15"/>
        <v>0</v>
      </c>
      <c r="P129" s="478">
        <f t="shared" si="16"/>
        <v>0</v>
      </c>
    </row>
    <row r="130" spans="2:16">
      <c r="B130" s="160" t="str">
        <f t="shared" si="17"/>
        <v/>
      </c>
      <c r="C130" s="472">
        <f>IF(D93="","-",+C129+1)</f>
        <v>2049</v>
      </c>
      <c r="D130" s="346">
        <f>IF(F129+SUM(E$99:E129)=D$92,F129,D$92-SUM(E$99:E129))</f>
        <v>79000.5</v>
      </c>
      <c r="E130" s="484">
        <f t="shared" si="18"/>
        <v>6878</v>
      </c>
      <c r="F130" s="485">
        <f t="shared" si="19"/>
        <v>72122.5</v>
      </c>
      <c r="G130" s="485">
        <f t="shared" si="20"/>
        <v>75561.5</v>
      </c>
      <c r="H130" s="613">
        <f t="shared" si="21"/>
        <v>15024.379450064658</v>
      </c>
      <c r="I130" s="614">
        <f t="shared" si="22"/>
        <v>15024.379450064658</v>
      </c>
      <c r="J130" s="478">
        <f t="shared" si="14"/>
        <v>0</v>
      </c>
      <c r="K130" s="478"/>
      <c r="L130" s="487"/>
      <c r="M130" s="478">
        <f t="shared" si="23"/>
        <v>0</v>
      </c>
      <c r="N130" s="487"/>
      <c r="O130" s="478">
        <f t="shared" si="15"/>
        <v>0</v>
      </c>
      <c r="P130" s="478">
        <f t="shared" si="16"/>
        <v>0</v>
      </c>
    </row>
    <row r="131" spans="2:16">
      <c r="B131" s="160" t="str">
        <f t="shared" si="17"/>
        <v/>
      </c>
      <c r="C131" s="472">
        <f>IF(D93="","-",+C130+1)</f>
        <v>2050</v>
      </c>
      <c r="D131" s="346">
        <f>IF(F130+SUM(E$99:E130)=D$92,F130,D$92-SUM(E$99:E130))</f>
        <v>72122.5</v>
      </c>
      <c r="E131" s="484">
        <f t="shared" si="18"/>
        <v>6878</v>
      </c>
      <c r="F131" s="485">
        <f t="shared" si="19"/>
        <v>65244.5</v>
      </c>
      <c r="G131" s="485">
        <f t="shared" si="20"/>
        <v>68683.5</v>
      </c>
      <c r="H131" s="613">
        <f t="shared" si="21"/>
        <v>14282.85370140238</v>
      </c>
      <c r="I131" s="614">
        <f t="shared" si="22"/>
        <v>14282.85370140238</v>
      </c>
      <c r="J131" s="478">
        <f t="shared" ref="J131:J154" si="24">+I541-H541</f>
        <v>0</v>
      </c>
      <c r="K131" s="478"/>
      <c r="L131" s="487"/>
      <c r="M131" s="478">
        <f t="shared" ref="M131:M154" si="25">IF(L541&lt;&gt;0,+H541-L541,0)</f>
        <v>0</v>
      </c>
      <c r="N131" s="487"/>
      <c r="O131" s="478">
        <f t="shared" ref="O131:O154" si="26">IF(N541&lt;&gt;0,+I541-N541,0)</f>
        <v>0</v>
      </c>
      <c r="P131" s="478">
        <f t="shared" ref="P131:P154" si="27">+O541-M541</f>
        <v>0</v>
      </c>
    </row>
    <row r="132" spans="2:16">
      <c r="B132" s="160" t="str">
        <f t="shared" si="17"/>
        <v/>
      </c>
      <c r="C132" s="472">
        <f>IF(D93="","-",+C131+1)</f>
        <v>2051</v>
      </c>
      <c r="D132" s="346">
        <f>IF(F131+SUM(E$99:E131)=D$92,F131,D$92-SUM(E$99:E131))</f>
        <v>65244.5</v>
      </c>
      <c r="E132" s="484">
        <f t="shared" si="18"/>
        <v>6878</v>
      </c>
      <c r="F132" s="485">
        <f t="shared" si="19"/>
        <v>58366.5</v>
      </c>
      <c r="G132" s="485">
        <f t="shared" si="20"/>
        <v>61805.5</v>
      </c>
      <c r="H132" s="613">
        <f t="shared" si="21"/>
        <v>13541.327952740103</v>
      </c>
      <c r="I132" s="614">
        <f t="shared" si="22"/>
        <v>13541.327952740103</v>
      </c>
      <c r="J132" s="478">
        <f t="shared" si="24"/>
        <v>0</v>
      </c>
      <c r="K132" s="478"/>
      <c r="L132" s="487"/>
      <c r="M132" s="478">
        <f t="shared" si="25"/>
        <v>0</v>
      </c>
      <c r="N132" s="487"/>
      <c r="O132" s="478">
        <f t="shared" si="26"/>
        <v>0</v>
      </c>
      <c r="P132" s="478">
        <f t="shared" si="27"/>
        <v>0</v>
      </c>
    </row>
    <row r="133" spans="2:16">
      <c r="B133" s="160" t="str">
        <f t="shared" si="17"/>
        <v/>
      </c>
      <c r="C133" s="472">
        <f>IF(D93="","-",+C132+1)</f>
        <v>2052</v>
      </c>
      <c r="D133" s="346">
        <f>IF(F132+SUM(E$99:E132)=D$92,F132,D$92-SUM(E$99:E132))</f>
        <v>58366.5</v>
      </c>
      <c r="E133" s="484">
        <f t="shared" si="18"/>
        <v>6878</v>
      </c>
      <c r="F133" s="485">
        <f t="shared" si="19"/>
        <v>51488.5</v>
      </c>
      <c r="G133" s="485">
        <f t="shared" si="20"/>
        <v>54927.5</v>
      </c>
      <c r="H133" s="613">
        <f t="shared" si="21"/>
        <v>12799.802204077823</v>
      </c>
      <c r="I133" s="614">
        <f t="shared" si="22"/>
        <v>12799.802204077823</v>
      </c>
      <c r="J133" s="478">
        <f t="shared" si="24"/>
        <v>0</v>
      </c>
      <c r="K133" s="478"/>
      <c r="L133" s="487"/>
      <c r="M133" s="478">
        <f t="shared" si="25"/>
        <v>0</v>
      </c>
      <c r="N133" s="487"/>
      <c r="O133" s="478">
        <f t="shared" si="26"/>
        <v>0</v>
      </c>
      <c r="P133" s="478">
        <f t="shared" si="27"/>
        <v>0</v>
      </c>
    </row>
    <row r="134" spans="2:16">
      <c r="B134" s="160" t="str">
        <f t="shared" si="17"/>
        <v/>
      </c>
      <c r="C134" s="472">
        <f>IF(D93="","-",+C133+1)</f>
        <v>2053</v>
      </c>
      <c r="D134" s="346">
        <f>IF(F133+SUM(E$99:E133)=D$92,F133,D$92-SUM(E$99:E133))</f>
        <v>51488.5</v>
      </c>
      <c r="E134" s="484">
        <f t="shared" si="18"/>
        <v>6878</v>
      </c>
      <c r="F134" s="485">
        <f t="shared" si="19"/>
        <v>44610.5</v>
      </c>
      <c r="G134" s="485">
        <f t="shared" si="20"/>
        <v>48049.5</v>
      </c>
      <c r="H134" s="613">
        <f t="shared" si="21"/>
        <v>12058.276455415547</v>
      </c>
      <c r="I134" s="614">
        <f t="shared" si="22"/>
        <v>12058.276455415547</v>
      </c>
      <c r="J134" s="478">
        <f t="shared" si="24"/>
        <v>0</v>
      </c>
      <c r="K134" s="478"/>
      <c r="L134" s="487"/>
      <c r="M134" s="478">
        <f t="shared" si="25"/>
        <v>0</v>
      </c>
      <c r="N134" s="487"/>
      <c r="O134" s="478">
        <f t="shared" si="26"/>
        <v>0</v>
      </c>
      <c r="P134" s="478">
        <f t="shared" si="27"/>
        <v>0</v>
      </c>
    </row>
    <row r="135" spans="2:16">
      <c r="B135" s="160" t="str">
        <f t="shared" si="17"/>
        <v/>
      </c>
      <c r="C135" s="472">
        <f>IF(D93="","-",+C134+1)</f>
        <v>2054</v>
      </c>
      <c r="D135" s="346">
        <f>IF(F134+SUM(E$99:E134)=D$92,F134,D$92-SUM(E$99:E134))</f>
        <v>44610.5</v>
      </c>
      <c r="E135" s="484">
        <f t="shared" si="18"/>
        <v>6878</v>
      </c>
      <c r="F135" s="485">
        <f t="shared" si="19"/>
        <v>37732.5</v>
      </c>
      <c r="G135" s="485">
        <f t="shared" si="20"/>
        <v>41171.5</v>
      </c>
      <c r="H135" s="613">
        <f t="shared" si="21"/>
        <v>11316.750706753268</v>
      </c>
      <c r="I135" s="614">
        <f t="shared" si="22"/>
        <v>11316.750706753268</v>
      </c>
      <c r="J135" s="478">
        <f t="shared" si="24"/>
        <v>0</v>
      </c>
      <c r="K135" s="478"/>
      <c r="L135" s="487"/>
      <c r="M135" s="478">
        <f t="shared" si="25"/>
        <v>0</v>
      </c>
      <c r="N135" s="487"/>
      <c r="O135" s="478">
        <f t="shared" si="26"/>
        <v>0</v>
      </c>
      <c r="P135" s="478">
        <f t="shared" si="27"/>
        <v>0</v>
      </c>
    </row>
    <row r="136" spans="2:16">
      <c r="B136" s="160" t="str">
        <f t="shared" si="17"/>
        <v/>
      </c>
      <c r="C136" s="472">
        <f>IF(D93="","-",+C135+1)</f>
        <v>2055</v>
      </c>
      <c r="D136" s="346">
        <f>IF(F135+SUM(E$99:E135)=D$92,F135,D$92-SUM(E$99:E135))</f>
        <v>37732.5</v>
      </c>
      <c r="E136" s="484">
        <f t="shared" si="18"/>
        <v>6878</v>
      </c>
      <c r="F136" s="485">
        <f t="shared" si="19"/>
        <v>30854.5</v>
      </c>
      <c r="G136" s="485">
        <f t="shared" si="20"/>
        <v>34293.5</v>
      </c>
      <c r="H136" s="613">
        <f t="shared" si="21"/>
        <v>10575.22495809099</v>
      </c>
      <c r="I136" s="614">
        <f t="shared" si="22"/>
        <v>10575.22495809099</v>
      </c>
      <c r="J136" s="478">
        <f t="shared" si="24"/>
        <v>0</v>
      </c>
      <c r="K136" s="478"/>
      <c r="L136" s="487"/>
      <c r="M136" s="478">
        <f t="shared" si="25"/>
        <v>0</v>
      </c>
      <c r="N136" s="487"/>
      <c r="O136" s="478">
        <f t="shared" si="26"/>
        <v>0</v>
      </c>
      <c r="P136" s="478">
        <f t="shared" si="27"/>
        <v>0</v>
      </c>
    </row>
    <row r="137" spans="2:16">
      <c r="B137" s="160" t="str">
        <f t="shared" si="17"/>
        <v/>
      </c>
      <c r="C137" s="472">
        <f>IF(D93="","-",+C136+1)</f>
        <v>2056</v>
      </c>
      <c r="D137" s="346">
        <f>IF(F136+SUM(E$99:E136)=D$92,F136,D$92-SUM(E$99:E136))</f>
        <v>30854.5</v>
      </c>
      <c r="E137" s="484">
        <f t="shared" si="18"/>
        <v>6878</v>
      </c>
      <c r="F137" s="485">
        <f t="shared" si="19"/>
        <v>23976.5</v>
      </c>
      <c r="G137" s="485">
        <f t="shared" si="20"/>
        <v>27415.5</v>
      </c>
      <c r="H137" s="613">
        <f t="shared" si="21"/>
        <v>9833.6992094287125</v>
      </c>
      <c r="I137" s="614">
        <f t="shared" si="22"/>
        <v>9833.6992094287125</v>
      </c>
      <c r="J137" s="478">
        <f t="shared" si="24"/>
        <v>0</v>
      </c>
      <c r="K137" s="478"/>
      <c r="L137" s="487"/>
      <c r="M137" s="478">
        <f t="shared" si="25"/>
        <v>0</v>
      </c>
      <c r="N137" s="487"/>
      <c r="O137" s="478">
        <f t="shared" si="26"/>
        <v>0</v>
      </c>
      <c r="P137" s="478">
        <f t="shared" si="27"/>
        <v>0</v>
      </c>
    </row>
    <row r="138" spans="2:16">
      <c r="B138" s="160" t="str">
        <f t="shared" si="17"/>
        <v/>
      </c>
      <c r="C138" s="472">
        <f>IF(D93="","-",+C137+1)</f>
        <v>2057</v>
      </c>
      <c r="D138" s="346">
        <f>IF(F137+SUM(E$99:E137)=D$92,F137,D$92-SUM(E$99:E137))</f>
        <v>23976.5</v>
      </c>
      <c r="E138" s="484">
        <f t="shared" si="18"/>
        <v>6878</v>
      </c>
      <c r="F138" s="485">
        <f t="shared" si="19"/>
        <v>17098.5</v>
      </c>
      <c r="G138" s="485">
        <f t="shared" si="20"/>
        <v>20537.5</v>
      </c>
      <c r="H138" s="613">
        <f t="shared" si="21"/>
        <v>9092.1734607664348</v>
      </c>
      <c r="I138" s="614">
        <f t="shared" si="22"/>
        <v>9092.1734607664348</v>
      </c>
      <c r="J138" s="478">
        <f t="shared" si="24"/>
        <v>0</v>
      </c>
      <c r="K138" s="478"/>
      <c r="L138" s="487"/>
      <c r="M138" s="478">
        <f t="shared" si="25"/>
        <v>0</v>
      </c>
      <c r="N138" s="487"/>
      <c r="O138" s="478">
        <f t="shared" si="26"/>
        <v>0</v>
      </c>
      <c r="P138" s="478">
        <f t="shared" si="27"/>
        <v>0</v>
      </c>
    </row>
    <row r="139" spans="2:16">
      <c r="B139" s="160" t="str">
        <f t="shared" si="17"/>
        <v/>
      </c>
      <c r="C139" s="472">
        <f>IF(D93="","-",+C138+1)</f>
        <v>2058</v>
      </c>
      <c r="D139" s="346">
        <f>IF(F138+SUM(E$99:E138)=D$92,F138,D$92-SUM(E$99:E138))</f>
        <v>17098.5</v>
      </c>
      <c r="E139" s="484">
        <f t="shared" si="18"/>
        <v>6878</v>
      </c>
      <c r="F139" s="485">
        <f t="shared" si="19"/>
        <v>10220.5</v>
      </c>
      <c r="G139" s="485">
        <f t="shared" si="20"/>
        <v>13659.5</v>
      </c>
      <c r="H139" s="613">
        <f t="shared" si="21"/>
        <v>8350.6477121041571</v>
      </c>
      <c r="I139" s="614">
        <f t="shared" si="22"/>
        <v>8350.6477121041571</v>
      </c>
      <c r="J139" s="478">
        <f t="shared" si="24"/>
        <v>0</v>
      </c>
      <c r="K139" s="478"/>
      <c r="L139" s="487"/>
      <c r="M139" s="478">
        <f t="shared" si="25"/>
        <v>0</v>
      </c>
      <c r="N139" s="487"/>
      <c r="O139" s="478">
        <f t="shared" si="26"/>
        <v>0</v>
      </c>
      <c r="P139" s="478">
        <f t="shared" si="27"/>
        <v>0</v>
      </c>
    </row>
    <row r="140" spans="2:16">
      <c r="B140" s="160" t="str">
        <f t="shared" si="17"/>
        <v/>
      </c>
      <c r="C140" s="472">
        <f>IF(D93="","-",+C139+1)</f>
        <v>2059</v>
      </c>
      <c r="D140" s="346">
        <f>IF(F139+SUM(E$99:E139)=D$92,F139,D$92-SUM(E$99:E139))</f>
        <v>10220.5</v>
      </c>
      <c r="E140" s="484">
        <f t="shared" si="18"/>
        <v>6878</v>
      </c>
      <c r="F140" s="485">
        <f t="shared" si="19"/>
        <v>3342.5</v>
      </c>
      <c r="G140" s="485">
        <f t="shared" si="20"/>
        <v>6781.5</v>
      </c>
      <c r="H140" s="613">
        <f t="shared" si="21"/>
        <v>7609.1219634418785</v>
      </c>
      <c r="I140" s="614">
        <f t="shared" si="22"/>
        <v>7609.1219634418785</v>
      </c>
      <c r="J140" s="478">
        <f t="shared" si="24"/>
        <v>0</v>
      </c>
      <c r="K140" s="478"/>
      <c r="L140" s="487"/>
      <c r="M140" s="478">
        <f t="shared" si="25"/>
        <v>0</v>
      </c>
      <c r="N140" s="487"/>
      <c r="O140" s="478">
        <f t="shared" si="26"/>
        <v>0</v>
      </c>
      <c r="P140" s="478">
        <f t="shared" si="27"/>
        <v>0</v>
      </c>
    </row>
    <row r="141" spans="2:16">
      <c r="B141" s="160" t="str">
        <f t="shared" si="17"/>
        <v/>
      </c>
      <c r="C141" s="472">
        <f>IF(D93="","-",+C140+1)</f>
        <v>2060</v>
      </c>
      <c r="D141" s="346">
        <f>IF(F140+SUM(E$99:E140)=D$92,F140,D$92-SUM(E$99:E140))</f>
        <v>3342.5</v>
      </c>
      <c r="E141" s="484">
        <f t="shared" si="18"/>
        <v>3342.5</v>
      </c>
      <c r="F141" s="485">
        <f t="shared" si="19"/>
        <v>0</v>
      </c>
      <c r="G141" s="485">
        <f t="shared" si="20"/>
        <v>1671.25</v>
      </c>
      <c r="H141" s="613">
        <f t="shared" si="21"/>
        <v>3522.6795445553698</v>
      </c>
      <c r="I141" s="614">
        <f t="shared" si="22"/>
        <v>3522.6795445553698</v>
      </c>
      <c r="J141" s="478">
        <f t="shared" si="24"/>
        <v>0</v>
      </c>
      <c r="K141" s="478"/>
      <c r="L141" s="487"/>
      <c r="M141" s="478">
        <f t="shared" si="25"/>
        <v>0</v>
      </c>
      <c r="N141" s="487"/>
      <c r="O141" s="478">
        <f t="shared" si="26"/>
        <v>0</v>
      </c>
      <c r="P141" s="478">
        <f t="shared" si="27"/>
        <v>0</v>
      </c>
    </row>
    <row r="142" spans="2:16">
      <c r="B142" s="160" t="str">
        <f t="shared" si="17"/>
        <v/>
      </c>
      <c r="C142" s="472">
        <f>IF(D93="","-",+C141+1)</f>
        <v>2061</v>
      </c>
      <c r="D142" s="346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613">
        <f t="shared" si="21"/>
        <v>0</v>
      </c>
      <c r="I142" s="614">
        <f t="shared" si="22"/>
        <v>0</v>
      </c>
      <c r="J142" s="478">
        <f t="shared" si="24"/>
        <v>0</v>
      </c>
      <c r="K142" s="478"/>
      <c r="L142" s="487"/>
      <c r="M142" s="478">
        <f t="shared" si="25"/>
        <v>0</v>
      </c>
      <c r="N142" s="487"/>
      <c r="O142" s="478">
        <f t="shared" si="26"/>
        <v>0</v>
      </c>
      <c r="P142" s="478">
        <f t="shared" si="27"/>
        <v>0</v>
      </c>
    </row>
    <row r="143" spans="2:16">
      <c r="B143" s="160" t="str">
        <f t="shared" si="17"/>
        <v/>
      </c>
      <c r="C143" s="472">
        <f>IF(D93="","-",+C142+1)</f>
        <v>2062</v>
      </c>
      <c r="D143" s="346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613">
        <f t="shared" si="21"/>
        <v>0</v>
      </c>
      <c r="I143" s="614">
        <f t="shared" si="22"/>
        <v>0</v>
      </c>
      <c r="J143" s="478">
        <f t="shared" si="24"/>
        <v>0</v>
      </c>
      <c r="K143" s="478"/>
      <c r="L143" s="487"/>
      <c r="M143" s="478">
        <f t="shared" si="25"/>
        <v>0</v>
      </c>
      <c r="N143" s="487"/>
      <c r="O143" s="478">
        <f t="shared" si="26"/>
        <v>0</v>
      </c>
      <c r="P143" s="478">
        <f t="shared" si="27"/>
        <v>0</v>
      </c>
    </row>
    <row r="144" spans="2:16">
      <c r="B144" s="160" t="str">
        <f t="shared" si="17"/>
        <v/>
      </c>
      <c r="C144" s="472">
        <f>IF(D93="","-",+C143+1)</f>
        <v>2063</v>
      </c>
      <c r="D144" s="346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613">
        <f t="shared" si="21"/>
        <v>0</v>
      </c>
      <c r="I144" s="614">
        <f t="shared" si="22"/>
        <v>0</v>
      </c>
      <c r="J144" s="478">
        <f t="shared" si="24"/>
        <v>0</v>
      </c>
      <c r="K144" s="478"/>
      <c r="L144" s="487"/>
      <c r="M144" s="478">
        <f t="shared" si="25"/>
        <v>0</v>
      </c>
      <c r="N144" s="487"/>
      <c r="O144" s="478">
        <f t="shared" si="26"/>
        <v>0</v>
      </c>
      <c r="P144" s="478">
        <f t="shared" si="27"/>
        <v>0</v>
      </c>
    </row>
    <row r="145" spans="2:16">
      <c r="B145" s="160" t="str">
        <f t="shared" si="17"/>
        <v/>
      </c>
      <c r="C145" s="472">
        <f>IF(D93="","-",+C144+1)</f>
        <v>2064</v>
      </c>
      <c r="D145" s="346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613">
        <f t="shared" si="21"/>
        <v>0</v>
      </c>
      <c r="I145" s="614">
        <f t="shared" si="22"/>
        <v>0</v>
      </c>
      <c r="J145" s="478">
        <f t="shared" si="24"/>
        <v>0</v>
      </c>
      <c r="K145" s="478"/>
      <c r="L145" s="487"/>
      <c r="M145" s="478">
        <f t="shared" si="25"/>
        <v>0</v>
      </c>
      <c r="N145" s="487"/>
      <c r="O145" s="478">
        <f t="shared" si="26"/>
        <v>0</v>
      </c>
      <c r="P145" s="478">
        <f t="shared" si="27"/>
        <v>0</v>
      </c>
    </row>
    <row r="146" spans="2:16">
      <c r="B146" s="160" t="str">
        <f t="shared" si="17"/>
        <v/>
      </c>
      <c r="C146" s="472">
        <f>IF(D93="","-",+C145+1)</f>
        <v>2065</v>
      </c>
      <c r="D146" s="346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613">
        <f t="shared" si="21"/>
        <v>0</v>
      </c>
      <c r="I146" s="614">
        <f t="shared" si="22"/>
        <v>0</v>
      </c>
      <c r="J146" s="478">
        <f t="shared" si="24"/>
        <v>0</v>
      </c>
      <c r="K146" s="478"/>
      <c r="L146" s="487"/>
      <c r="M146" s="478">
        <f t="shared" si="25"/>
        <v>0</v>
      </c>
      <c r="N146" s="487"/>
      <c r="O146" s="478">
        <f t="shared" si="26"/>
        <v>0</v>
      </c>
      <c r="P146" s="478">
        <f t="shared" si="27"/>
        <v>0</v>
      </c>
    </row>
    <row r="147" spans="2:16">
      <c r="B147" s="160" t="str">
        <f t="shared" si="17"/>
        <v/>
      </c>
      <c r="C147" s="472">
        <f>IF(D93="","-",+C146+1)</f>
        <v>2066</v>
      </c>
      <c r="D147" s="346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613">
        <f t="shared" si="21"/>
        <v>0</v>
      </c>
      <c r="I147" s="614">
        <f t="shared" si="22"/>
        <v>0</v>
      </c>
      <c r="J147" s="478">
        <f t="shared" si="24"/>
        <v>0</v>
      </c>
      <c r="K147" s="478"/>
      <c r="L147" s="487"/>
      <c r="M147" s="478">
        <f t="shared" si="25"/>
        <v>0</v>
      </c>
      <c r="N147" s="487"/>
      <c r="O147" s="478">
        <f t="shared" si="26"/>
        <v>0</v>
      </c>
      <c r="P147" s="478">
        <f t="shared" si="27"/>
        <v>0</v>
      </c>
    </row>
    <row r="148" spans="2:16">
      <c r="B148" s="160" t="str">
        <f t="shared" si="17"/>
        <v/>
      </c>
      <c r="C148" s="472">
        <f>IF(D93="","-",+C147+1)</f>
        <v>2067</v>
      </c>
      <c r="D148" s="346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613">
        <f t="shared" si="21"/>
        <v>0</v>
      </c>
      <c r="I148" s="614">
        <f t="shared" si="22"/>
        <v>0</v>
      </c>
      <c r="J148" s="478">
        <f t="shared" si="24"/>
        <v>0</v>
      </c>
      <c r="K148" s="478"/>
      <c r="L148" s="487"/>
      <c r="M148" s="478">
        <f t="shared" si="25"/>
        <v>0</v>
      </c>
      <c r="N148" s="487"/>
      <c r="O148" s="478">
        <f t="shared" si="26"/>
        <v>0</v>
      </c>
      <c r="P148" s="478">
        <f t="shared" si="27"/>
        <v>0</v>
      </c>
    </row>
    <row r="149" spans="2:16">
      <c r="B149" s="160" t="str">
        <f t="shared" si="17"/>
        <v/>
      </c>
      <c r="C149" s="472">
        <f>IF(D93="","-",+C148+1)</f>
        <v>2068</v>
      </c>
      <c r="D149" s="346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613">
        <f t="shared" si="21"/>
        <v>0</v>
      </c>
      <c r="I149" s="614">
        <f t="shared" si="22"/>
        <v>0</v>
      </c>
      <c r="J149" s="478">
        <f t="shared" si="24"/>
        <v>0</v>
      </c>
      <c r="K149" s="478"/>
      <c r="L149" s="487"/>
      <c r="M149" s="478">
        <f t="shared" si="25"/>
        <v>0</v>
      </c>
      <c r="N149" s="487"/>
      <c r="O149" s="478">
        <f t="shared" si="26"/>
        <v>0</v>
      </c>
      <c r="P149" s="478">
        <f t="shared" si="27"/>
        <v>0</v>
      </c>
    </row>
    <row r="150" spans="2:16">
      <c r="B150" s="160" t="str">
        <f t="shared" si="17"/>
        <v/>
      </c>
      <c r="C150" s="472">
        <f>IF(D93="","-",+C149+1)</f>
        <v>2069</v>
      </c>
      <c r="D150" s="346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613">
        <f t="shared" si="21"/>
        <v>0</v>
      </c>
      <c r="I150" s="614">
        <f t="shared" si="22"/>
        <v>0</v>
      </c>
      <c r="J150" s="478">
        <f t="shared" si="24"/>
        <v>0</v>
      </c>
      <c r="K150" s="478"/>
      <c r="L150" s="487"/>
      <c r="M150" s="478">
        <f t="shared" si="25"/>
        <v>0</v>
      </c>
      <c r="N150" s="487"/>
      <c r="O150" s="478">
        <f t="shared" si="26"/>
        <v>0</v>
      </c>
      <c r="P150" s="478">
        <f t="shared" si="27"/>
        <v>0</v>
      </c>
    </row>
    <row r="151" spans="2:16">
      <c r="B151" s="160" t="str">
        <f t="shared" si="17"/>
        <v/>
      </c>
      <c r="C151" s="472">
        <f>IF(D93="","-",+C150+1)</f>
        <v>2070</v>
      </c>
      <c r="D151" s="346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613">
        <f t="shared" si="21"/>
        <v>0</v>
      </c>
      <c r="I151" s="614">
        <f t="shared" si="22"/>
        <v>0</v>
      </c>
      <c r="J151" s="478">
        <f t="shared" si="24"/>
        <v>0</v>
      </c>
      <c r="K151" s="478"/>
      <c r="L151" s="487"/>
      <c r="M151" s="478">
        <f t="shared" si="25"/>
        <v>0</v>
      </c>
      <c r="N151" s="487"/>
      <c r="O151" s="478">
        <f t="shared" si="26"/>
        <v>0</v>
      </c>
      <c r="P151" s="478">
        <f t="shared" si="27"/>
        <v>0</v>
      </c>
    </row>
    <row r="152" spans="2:16">
      <c r="B152" s="160" t="str">
        <f t="shared" si="17"/>
        <v/>
      </c>
      <c r="C152" s="472">
        <f>IF(D93="","-",+C151+1)</f>
        <v>2071</v>
      </c>
      <c r="D152" s="346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613">
        <f t="shared" si="21"/>
        <v>0</v>
      </c>
      <c r="I152" s="614">
        <f t="shared" si="22"/>
        <v>0</v>
      </c>
      <c r="J152" s="478">
        <f t="shared" si="24"/>
        <v>0</v>
      </c>
      <c r="K152" s="478"/>
      <c r="L152" s="487"/>
      <c r="M152" s="478">
        <f t="shared" si="25"/>
        <v>0</v>
      </c>
      <c r="N152" s="487"/>
      <c r="O152" s="478">
        <f t="shared" si="26"/>
        <v>0</v>
      </c>
      <c r="P152" s="478">
        <f t="shared" si="27"/>
        <v>0</v>
      </c>
    </row>
    <row r="153" spans="2:16">
      <c r="B153" s="160" t="str">
        <f t="shared" si="17"/>
        <v/>
      </c>
      <c r="C153" s="472">
        <f>IF(D93="","-",+C152+1)</f>
        <v>2072</v>
      </c>
      <c r="D153" s="346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613">
        <f t="shared" si="21"/>
        <v>0</v>
      </c>
      <c r="I153" s="614">
        <f t="shared" si="22"/>
        <v>0</v>
      </c>
      <c r="J153" s="478">
        <f t="shared" si="24"/>
        <v>0</v>
      </c>
      <c r="K153" s="478"/>
      <c r="L153" s="487"/>
      <c r="M153" s="478">
        <f t="shared" si="25"/>
        <v>0</v>
      </c>
      <c r="N153" s="487"/>
      <c r="O153" s="478">
        <f t="shared" si="26"/>
        <v>0</v>
      </c>
      <c r="P153" s="478">
        <f t="shared" si="27"/>
        <v>0</v>
      </c>
    </row>
    <row r="154" spans="2:16" ht="13.5" thickBot="1">
      <c r="B154" s="160" t="str">
        <f t="shared" si="17"/>
        <v/>
      </c>
      <c r="C154" s="489">
        <f>IF(D93="","-",+C153+1)</f>
        <v>2073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5">
        <f t="shared" si="21"/>
        <v>0</v>
      </c>
      <c r="I154" s="616">
        <f t="shared" si="22"/>
        <v>0</v>
      </c>
      <c r="J154" s="495">
        <f t="shared" si="24"/>
        <v>0</v>
      </c>
      <c r="K154" s="478"/>
      <c r="L154" s="494"/>
      <c r="M154" s="495">
        <f t="shared" si="25"/>
        <v>0</v>
      </c>
      <c r="N154" s="494"/>
      <c r="O154" s="495">
        <f t="shared" si="26"/>
        <v>0</v>
      </c>
      <c r="P154" s="495">
        <f t="shared" si="27"/>
        <v>0</v>
      </c>
    </row>
    <row r="155" spans="2:16">
      <c r="C155" s="346" t="s">
        <v>77</v>
      </c>
      <c r="D155" s="347"/>
      <c r="E155" s="347">
        <f>SUM(E99:E154)</f>
        <v>288860</v>
      </c>
      <c r="F155" s="347"/>
      <c r="G155" s="347"/>
      <c r="H155" s="347">
        <f>SUM(H99:H154)</f>
        <v>943121.60660718242</v>
      </c>
      <c r="I155" s="347">
        <f>SUM(I99:I154)</f>
        <v>943121.60660718242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5" priority="1" stopIfTrue="1" operator="equal">
      <formula>$I$10</formula>
    </cfRule>
  </conditionalFormatting>
  <conditionalFormatting sqref="C99:C154">
    <cfRule type="cellIs" dxfId="14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/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26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1019988.1643084703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1019988.1643084703</v>
      </c>
      <c r="O6" s="232"/>
      <c r="P6" s="232"/>
    </row>
    <row r="7" spans="1:16" ht="13.5" thickBot="1">
      <c r="C7" s="431" t="s">
        <v>46</v>
      </c>
      <c r="D7" s="104" t="s">
        <v>332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334</v>
      </c>
      <c r="E9" s="623" t="s">
        <v>341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8147701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12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193992.88095238095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2019</v>
      </c>
      <c r="D17" s="584">
        <v>0</v>
      </c>
      <c r="E17" s="585">
        <v>0</v>
      </c>
      <c r="F17" s="584">
        <v>5024000</v>
      </c>
      <c r="G17" s="585">
        <v>280481.45781944925</v>
      </c>
      <c r="H17" s="587">
        <v>280481.45781944925</v>
      </c>
      <c r="I17" s="475">
        <f>H17-G17</f>
        <v>0</v>
      </c>
      <c r="J17" s="475"/>
      <c r="K17" s="554">
        <f>+G17</f>
        <v>280481.45781944925</v>
      </c>
      <c r="L17" s="477">
        <f t="shared" ref="L17:L18" si="0">IF(K17&lt;&gt;0,+G17-K17,0)</f>
        <v>0</v>
      </c>
      <c r="M17" s="554">
        <f>+H17</f>
        <v>280481.45781944925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2020</v>
      </c>
      <c r="D18" s="584">
        <v>7156000</v>
      </c>
      <c r="E18" s="585">
        <v>170380.95238095237</v>
      </c>
      <c r="F18" s="584">
        <v>6985619.0476190476</v>
      </c>
      <c r="G18" s="585">
        <v>934062.15757277235</v>
      </c>
      <c r="H18" s="587">
        <v>934062.15757277235</v>
      </c>
      <c r="I18" s="475">
        <f>H18-G18</f>
        <v>0</v>
      </c>
      <c r="J18" s="475"/>
      <c r="K18" s="478">
        <f>+G18</f>
        <v>934062.15757277235</v>
      </c>
      <c r="L18" s="478">
        <f t="shared" si="0"/>
        <v>0</v>
      </c>
      <c r="M18" s="478">
        <f>+H18</f>
        <v>934062.15757277235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2021</v>
      </c>
      <c r="D19" s="584">
        <v>9239264.0476190485</v>
      </c>
      <c r="E19" s="585">
        <v>218828.95348837209</v>
      </c>
      <c r="F19" s="584">
        <v>9020435.0941306762</v>
      </c>
      <c r="G19" s="585">
        <v>1203224.4158022963</v>
      </c>
      <c r="H19" s="587">
        <v>1203224.4158022963</v>
      </c>
      <c r="I19" s="475">
        <f t="shared" ref="I19:I71" si="3">H19-G19</f>
        <v>0</v>
      </c>
      <c r="J19" s="475"/>
      <c r="K19" s="478">
        <f>+G19</f>
        <v>1203224.4158022963</v>
      </c>
      <c r="L19" s="478">
        <f t="shared" ref="L19" si="4">IF(K19&lt;&gt;0,+G19-K19,0)</f>
        <v>0</v>
      </c>
      <c r="M19" s="478">
        <f>+H19</f>
        <v>1203224.4158022963</v>
      </c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483">
        <f>IF(F19+SUM(E$17:E19)=D$10,F19,D$10-SUM(E$17:E19))</f>
        <v>7758491.0941306753</v>
      </c>
      <c r="E20" s="484">
        <f t="shared" ref="E20:E71" si="6">IF(+I$14&lt;F19,I$14,D20)</f>
        <v>193992.88095238095</v>
      </c>
      <c r="F20" s="485">
        <f t="shared" ref="F20:F71" si="7">+D20-E20</f>
        <v>7564498.2131782947</v>
      </c>
      <c r="G20" s="486">
        <f t="shared" ref="G20:G71" si="8">(D20+F20)/2*I$12+E20</f>
        <v>1019988.1643084703</v>
      </c>
      <c r="H20" s="455">
        <f t="shared" ref="H20:H71" si="9">+(D20+F20)/2*I$13+E20</f>
        <v>1019988.1643084703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5"/>
        <v/>
      </c>
      <c r="C21" s="472">
        <f>IF(D11="","-",+C20+1)</f>
        <v>2023</v>
      </c>
      <c r="D21" s="483">
        <f>IF(F20+SUM(E$17:E20)=D$10,F20,D$10-SUM(E$17:E20))</f>
        <v>7564498.2131782947</v>
      </c>
      <c r="E21" s="484">
        <f t="shared" si="6"/>
        <v>193992.88095238095</v>
      </c>
      <c r="F21" s="485">
        <f t="shared" si="7"/>
        <v>7370505.3322259141</v>
      </c>
      <c r="G21" s="486">
        <f t="shared" si="8"/>
        <v>999073.55013525626</v>
      </c>
      <c r="H21" s="455">
        <f t="shared" si="9"/>
        <v>999073.55013525626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7370505.3322259141</v>
      </c>
      <c r="E22" s="484">
        <f t="shared" si="6"/>
        <v>193992.88095238095</v>
      </c>
      <c r="F22" s="485">
        <f t="shared" si="7"/>
        <v>7176512.4512735335</v>
      </c>
      <c r="G22" s="486">
        <f t="shared" si="8"/>
        <v>978158.93596204219</v>
      </c>
      <c r="H22" s="455">
        <f t="shared" si="9"/>
        <v>978158.93596204219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7176512.4512735335</v>
      </c>
      <c r="E23" s="484">
        <f t="shared" si="6"/>
        <v>193992.88095238095</v>
      </c>
      <c r="F23" s="485">
        <f t="shared" si="7"/>
        <v>6982519.5703211529</v>
      </c>
      <c r="G23" s="486">
        <f t="shared" si="8"/>
        <v>957244.32178882812</v>
      </c>
      <c r="H23" s="455">
        <f t="shared" si="9"/>
        <v>957244.32178882812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6982519.5703211529</v>
      </c>
      <c r="E24" s="484">
        <f t="shared" si="6"/>
        <v>193992.88095238095</v>
      </c>
      <c r="F24" s="485">
        <f t="shared" si="7"/>
        <v>6788526.6893687723</v>
      </c>
      <c r="G24" s="486">
        <f t="shared" si="8"/>
        <v>936329.70761561405</v>
      </c>
      <c r="H24" s="455">
        <f t="shared" si="9"/>
        <v>936329.70761561405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6788526.6893687723</v>
      </c>
      <c r="E25" s="484">
        <f t="shared" si="6"/>
        <v>193992.88095238095</v>
      </c>
      <c r="F25" s="485">
        <f t="shared" si="7"/>
        <v>6594533.8084163917</v>
      </c>
      <c r="G25" s="486">
        <f t="shared" si="8"/>
        <v>915415.0934424001</v>
      </c>
      <c r="H25" s="455">
        <f t="shared" si="9"/>
        <v>915415.0934424001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6594533.8084163917</v>
      </c>
      <c r="E26" s="484">
        <f t="shared" si="6"/>
        <v>193992.88095238095</v>
      </c>
      <c r="F26" s="485">
        <f t="shared" si="7"/>
        <v>6400540.9274640111</v>
      </c>
      <c r="G26" s="486">
        <f t="shared" si="8"/>
        <v>894500.47926918603</v>
      </c>
      <c r="H26" s="455">
        <f t="shared" si="9"/>
        <v>894500.47926918603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6400540.9274640111</v>
      </c>
      <c r="E27" s="484">
        <f t="shared" si="6"/>
        <v>193992.88095238095</v>
      </c>
      <c r="F27" s="485">
        <f t="shared" si="7"/>
        <v>6206548.0465116305</v>
      </c>
      <c r="G27" s="486">
        <f t="shared" si="8"/>
        <v>873585.86509597197</v>
      </c>
      <c r="H27" s="455">
        <f t="shared" si="9"/>
        <v>873585.86509597197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6206548.0465116305</v>
      </c>
      <c r="E28" s="484">
        <f t="shared" si="6"/>
        <v>193992.88095238095</v>
      </c>
      <c r="F28" s="485">
        <f t="shared" si="7"/>
        <v>6012555.1655592499</v>
      </c>
      <c r="G28" s="486">
        <f t="shared" si="8"/>
        <v>852671.2509227579</v>
      </c>
      <c r="H28" s="455">
        <f t="shared" si="9"/>
        <v>852671.2509227579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6012555.1655592499</v>
      </c>
      <c r="E29" s="484">
        <f t="shared" si="6"/>
        <v>193992.88095238095</v>
      </c>
      <c r="F29" s="485">
        <f t="shared" si="7"/>
        <v>5818562.2846068693</v>
      </c>
      <c r="G29" s="486">
        <f t="shared" si="8"/>
        <v>831756.63674954383</v>
      </c>
      <c r="H29" s="455">
        <f t="shared" si="9"/>
        <v>831756.63674954383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5818562.2846068693</v>
      </c>
      <c r="E30" s="484">
        <f t="shared" si="6"/>
        <v>193992.88095238095</v>
      </c>
      <c r="F30" s="485">
        <f t="shared" si="7"/>
        <v>5624569.4036544887</v>
      </c>
      <c r="G30" s="486">
        <f t="shared" si="8"/>
        <v>810842.02257632988</v>
      </c>
      <c r="H30" s="455">
        <f t="shared" si="9"/>
        <v>810842.02257632988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5624569.4036544887</v>
      </c>
      <c r="E31" s="484">
        <f t="shared" si="6"/>
        <v>193992.88095238095</v>
      </c>
      <c r="F31" s="485">
        <f t="shared" si="7"/>
        <v>5430576.5227021081</v>
      </c>
      <c r="G31" s="486">
        <f t="shared" si="8"/>
        <v>789927.40840311581</v>
      </c>
      <c r="H31" s="455">
        <f t="shared" si="9"/>
        <v>789927.40840311581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5430576.5227021081</v>
      </c>
      <c r="E32" s="484">
        <f t="shared" si="6"/>
        <v>193992.88095238095</v>
      </c>
      <c r="F32" s="485">
        <f t="shared" si="7"/>
        <v>5236583.6417497275</v>
      </c>
      <c r="G32" s="486">
        <f t="shared" si="8"/>
        <v>769012.79422990174</v>
      </c>
      <c r="H32" s="455">
        <f t="shared" si="9"/>
        <v>769012.79422990174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5"/>
        <v>IU</v>
      </c>
      <c r="C33" s="472">
        <f>IF(D11="","-",+C32+1)</f>
        <v>2035</v>
      </c>
      <c r="D33" s="483">
        <f>IF(F32+SUM(E$17:E32)=D$10,F32,D$10-SUM(E$17:E32))</f>
        <v>5236583.6417497229</v>
      </c>
      <c r="E33" s="484">
        <f t="shared" si="6"/>
        <v>193992.88095238095</v>
      </c>
      <c r="F33" s="485">
        <f t="shared" si="7"/>
        <v>5042590.7607973423</v>
      </c>
      <c r="G33" s="486">
        <f t="shared" si="8"/>
        <v>748098.18005668721</v>
      </c>
      <c r="H33" s="455">
        <f t="shared" si="9"/>
        <v>748098.18005668721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5042590.7607973423</v>
      </c>
      <c r="E34" s="484">
        <f t="shared" si="6"/>
        <v>193992.88095238095</v>
      </c>
      <c r="F34" s="485">
        <f t="shared" si="7"/>
        <v>4848597.8798449617</v>
      </c>
      <c r="G34" s="486">
        <f t="shared" si="8"/>
        <v>727183.56588347314</v>
      </c>
      <c r="H34" s="455">
        <f t="shared" si="9"/>
        <v>727183.56588347314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4848597.8798449617</v>
      </c>
      <c r="E35" s="484">
        <f t="shared" si="6"/>
        <v>193992.88095238095</v>
      </c>
      <c r="F35" s="485">
        <f t="shared" si="7"/>
        <v>4654604.9988925811</v>
      </c>
      <c r="G35" s="486">
        <f t="shared" si="8"/>
        <v>706268.95171025908</v>
      </c>
      <c r="H35" s="455">
        <f t="shared" si="9"/>
        <v>706268.95171025908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4654604.9988925811</v>
      </c>
      <c r="E36" s="484">
        <f t="shared" si="6"/>
        <v>193992.88095238095</v>
      </c>
      <c r="F36" s="485">
        <f t="shared" si="7"/>
        <v>4460612.1179402005</v>
      </c>
      <c r="G36" s="486">
        <f t="shared" si="8"/>
        <v>685354.33753704512</v>
      </c>
      <c r="H36" s="455">
        <f t="shared" si="9"/>
        <v>685354.33753704512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4460612.1179402005</v>
      </c>
      <c r="E37" s="484">
        <f t="shared" si="6"/>
        <v>193992.88095238095</v>
      </c>
      <c r="F37" s="485">
        <f t="shared" si="7"/>
        <v>4266619.2369878199</v>
      </c>
      <c r="G37" s="486">
        <f t="shared" si="8"/>
        <v>664439.72336383106</v>
      </c>
      <c r="H37" s="455">
        <f t="shared" si="9"/>
        <v>664439.72336383106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4266619.2369878199</v>
      </c>
      <c r="E38" s="484">
        <f t="shared" si="6"/>
        <v>193992.88095238095</v>
      </c>
      <c r="F38" s="485">
        <f t="shared" si="7"/>
        <v>4072626.3560354388</v>
      </c>
      <c r="G38" s="486">
        <f t="shared" si="8"/>
        <v>643525.10919061699</v>
      </c>
      <c r="H38" s="455">
        <f t="shared" si="9"/>
        <v>643525.10919061699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4072626.3560354388</v>
      </c>
      <c r="E39" s="484">
        <f t="shared" si="6"/>
        <v>193992.88095238095</v>
      </c>
      <c r="F39" s="485">
        <f t="shared" si="7"/>
        <v>3878633.4750830578</v>
      </c>
      <c r="G39" s="486">
        <f t="shared" si="8"/>
        <v>622610.49501740281</v>
      </c>
      <c r="H39" s="455">
        <f t="shared" si="9"/>
        <v>622610.49501740281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3878633.4750830578</v>
      </c>
      <c r="E40" s="484">
        <f t="shared" si="6"/>
        <v>193992.88095238095</v>
      </c>
      <c r="F40" s="485">
        <f t="shared" si="7"/>
        <v>3684640.5941306767</v>
      </c>
      <c r="G40" s="486">
        <f t="shared" si="8"/>
        <v>601695.88084418885</v>
      </c>
      <c r="H40" s="455">
        <f t="shared" si="9"/>
        <v>601695.88084418885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3684640.5941306767</v>
      </c>
      <c r="E41" s="484">
        <f t="shared" si="6"/>
        <v>193992.88095238095</v>
      </c>
      <c r="F41" s="485">
        <f t="shared" si="7"/>
        <v>3490647.7131782956</v>
      </c>
      <c r="G41" s="486">
        <f t="shared" si="8"/>
        <v>580781.26667097467</v>
      </c>
      <c r="H41" s="455">
        <f t="shared" si="9"/>
        <v>580781.26667097467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3490647.7131782956</v>
      </c>
      <c r="E42" s="484">
        <f t="shared" si="6"/>
        <v>193992.88095238095</v>
      </c>
      <c r="F42" s="485">
        <f t="shared" si="7"/>
        <v>3296654.8322259146</v>
      </c>
      <c r="G42" s="486">
        <f t="shared" si="8"/>
        <v>559866.6524977606</v>
      </c>
      <c r="H42" s="455">
        <f t="shared" si="9"/>
        <v>559866.6524977606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3296654.8322259146</v>
      </c>
      <c r="E43" s="484">
        <f t="shared" si="6"/>
        <v>193992.88095238095</v>
      </c>
      <c r="F43" s="485">
        <f t="shared" si="7"/>
        <v>3102661.9512735335</v>
      </c>
      <c r="G43" s="486">
        <f t="shared" si="8"/>
        <v>538952.03832454653</v>
      </c>
      <c r="H43" s="455">
        <f t="shared" si="9"/>
        <v>538952.03832454653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3102661.9512735335</v>
      </c>
      <c r="E44" s="484">
        <f t="shared" si="6"/>
        <v>193992.88095238095</v>
      </c>
      <c r="F44" s="485">
        <f t="shared" si="7"/>
        <v>2908669.0703211525</v>
      </c>
      <c r="G44" s="486">
        <f t="shared" si="8"/>
        <v>518037.42415133241</v>
      </c>
      <c r="H44" s="455">
        <f t="shared" si="9"/>
        <v>518037.42415133241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2908669.0703211525</v>
      </c>
      <c r="E45" s="484">
        <f t="shared" si="6"/>
        <v>193992.88095238095</v>
      </c>
      <c r="F45" s="485">
        <f t="shared" si="7"/>
        <v>2714676.1893687714</v>
      </c>
      <c r="G45" s="486">
        <f t="shared" si="8"/>
        <v>497122.80997811828</v>
      </c>
      <c r="H45" s="455">
        <f t="shared" si="9"/>
        <v>497122.80997811828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2714676.1893687714</v>
      </c>
      <c r="E46" s="484">
        <f t="shared" si="6"/>
        <v>193992.88095238095</v>
      </c>
      <c r="F46" s="485">
        <f t="shared" si="7"/>
        <v>2520683.3084163903</v>
      </c>
      <c r="G46" s="486">
        <f t="shared" si="8"/>
        <v>476208.19580490422</v>
      </c>
      <c r="H46" s="455">
        <f t="shared" si="9"/>
        <v>476208.19580490422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2520683.3084163903</v>
      </c>
      <c r="E47" s="484">
        <f t="shared" si="6"/>
        <v>193992.88095238095</v>
      </c>
      <c r="F47" s="485">
        <f t="shared" si="7"/>
        <v>2326690.4274640093</v>
      </c>
      <c r="G47" s="486">
        <f t="shared" si="8"/>
        <v>455293.58163169009</v>
      </c>
      <c r="H47" s="455">
        <f t="shared" si="9"/>
        <v>455293.58163169009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2326690.4274640093</v>
      </c>
      <c r="E48" s="484">
        <f t="shared" si="6"/>
        <v>193992.88095238095</v>
      </c>
      <c r="F48" s="485">
        <f t="shared" si="7"/>
        <v>2132697.5465116282</v>
      </c>
      <c r="G48" s="486">
        <f t="shared" si="8"/>
        <v>434378.96745847608</v>
      </c>
      <c r="H48" s="455">
        <f t="shared" si="9"/>
        <v>434378.96745847608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2132697.5465116282</v>
      </c>
      <c r="E49" s="484">
        <f t="shared" si="6"/>
        <v>193992.88095238095</v>
      </c>
      <c r="F49" s="485">
        <f t="shared" si="7"/>
        <v>1938704.6655592471</v>
      </c>
      <c r="G49" s="486">
        <f t="shared" si="8"/>
        <v>413464.3532852619</v>
      </c>
      <c r="H49" s="455">
        <f t="shared" si="9"/>
        <v>413464.3532852619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1938704.6655592471</v>
      </c>
      <c r="E50" s="484">
        <f t="shared" si="6"/>
        <v>193992.88095238095</v>
      </c>
      <c r="F50" s="485">
        <f t="shared" si="7"/>
        <v>1744711.7846068661</v>
      </c>
      <c r="G50" s="486">
        <f t="shared" si="8"/>
        <v>392549.73911204783</v>
      </c>
      <c r="H50" s="455">
        <f t="shared" si="9"/>
        <v>392549.73911204783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1744711.7846068661</v>
      </c>
      <c r="E51" s="484">
        <f t="shared" si="6"/>
        <v>193992.88095238095</v>
      </c>
      <c r="F51" s="485">
        <f t="shared" si="7"/>
        <v>1550718.903654485</v>
      </c>
      <c r="G51" s="486">
        <f t="shared" si="8"/>
        <v>371635.12493883376</v>
      </c>
      <c r="H51" s="455">
        <f t="shared" si="9"/>
        <v>371635.12493883376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1550718.903654485</v>
      </c>
      <c r="E52" s="484">
        <f t="shared" si="6"/>
        <v>193992.88095238095</v>
      </c>
      <c r="F52" s="485">
        <f t="shared" si="7"/>
        <v>1356726.0227021039</v>
      </c>
      <c r="G52" s="486">
        <f t="shared" si="8"/>
        <v>350720.51076561963</v>
      </c>
      <c r="H52" s="455">
        <f t="shared" si="9"/>
        <v>350720.51076561963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1356726.0227021039</v>
      </c>
      <c r="E53" s="484">
        <f t="shared" si="6"/>
        <v>193992.88095238095</v>
      </c>
      <c r="F53" s="485">
        <f t="shared" si="7"/>
        <v>1162733.1417497229</v>
      </c>
      <c r="G53" s="486">
        <f t="shared" si="8"/>
        <v>329805.89659240551</v>
      </c>
      <c r="H53" s="455">
        <f t="shared" si="9"/>
        <v>329805.89659240551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1162733.1417497229</v>
      </c>
      <c r="E54" s="484">
        <f t="shared" si="6"/>
        <v>193992.88095238095</v>
      </c>
      <c r="F54" s="485">
        <f t="shared" si="7"/>
        <v>968740.26079734194</v>
      </c>
      <c r="G54" s="486">
        <f t="shared" si="8"/>
        <v>308891.28241919144</v>
      </c>
      <c r="H54" s="455">
        <f t="shared" si="9"/>
        <v>308891.28241919144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968740.26079734194</v>
      </c>
      <c r="E55" s="484">
        <f t="shared" si="6"/>
        <v>193992.88095238095</v>
      </c>
      <c r="F55" s="485">
        <f t="shared" si="7"/>
        <v>774747.37984496099</v>
      </c>
      <c r="G55" s="486">
        <f t="shared" si="8"/>
        <v>287976.66824597737</v>
      </c>
      <c r="H55" s="455">
        <f t="shared" si="9"/>
        <v>287976.66824597737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774747.37984496099</v>
      </c>
      <c r="E56" s="484">
        <f t="shared" si="6"/>
        <v>193992.88095238095</v>
      </c>
      <c r="F56" s="485">
        <f t="shared" si="7"/>
        <v>580754.49889258004</v>
      </c>
      <c r="G56" s="486">
        <f t="shared" si="8"/>
        <v>267062.05407276331</v>
      </c>
      <c r="H56" s="455">
        <f t="shared" si="9"/>
        <v>267062.05407276331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580754.49889258004</v>
      </c>
      <c r="E57" s="484">
        <f t="shared" si="6"/>
        <v>193992.88095238095</v>
      </c>
      <c r="F57" s="485">
        <f t="shared" si="7"/>
        <v>386761.6179401991</v>
      </c>
      <c r="G57" s="486">
        <f t="shared" si="8"/>
        <v>246147.43989954921</v>
      </c>
      <c r="H57" s="455">
        <f t="shared" si="9"/>
        <v>246147.43989954921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5"/>
        <v>IU</v>
      </c>
      <c r="C58" s="472">
        <f>IF(D11="","-",+C57+1)</f>
        <v>2060</v>
      </c>
      <c r="D58" s="483">
        <f>IF(F57+SUM(E$17:E57)=D$10,F57,D$10-SUM(E$17:E57))</f>
        <v>386761.61794020422</v>
      </c>
      <c r="E58" s="484">
        <f t="shared" si="6"/>
        <v>193992.88095238095</v>
      </c>
      <c r="F58" s="485">
        <f t="shared" si="7"/>
        <v>192768.73698782327</v>
      </c>
      <c r="G58" s="486">
        <f t="shared" si="8"/>
        <v>225232.82572633569</v>
      </c>
      <c r="H58" s="455">
        <f t="shared" si="9"/>
        <v>225232.82572633569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192768.73698782327</v>
      </c>
      <c r="E59" s="484">
        <f t="shared" si="6"/>
        <v>192768.73698782327</v>
      </c>
      <c r="F59" s="485">
        <f t="shared" si="7"/>
        <v>0</v>
      </c>
      <c r="G59" s="486">
        <f t="shared" si="8"/>
        <v>203160.05583149713</v>
      </c>
      <c r="H59" s="455">
        <f t="shared" si="9"/>
        <v>203160.05583149713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0</v>
      </c>
      <c r="E60" s="484">
        <f t="shared" si="6"/>
        <v>0</v>
      </c>
      <c r="F60" s="485">
        <f t="shared" si="7"/>
        <v>0</v>
      </c>
      <c r="G60" s="486">
        <f t="shared" si="8"/>
        <v>0</v>
      </c>
      <c r="H60" s="455">
        <f t="shared" si="9"/>
        <v>0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8147701</v>
      </c>
      <c r="F73" s="347"/>
      <c r="G73" s="347">
        <f>SUM(G17:G72)</f>
        <v>26902737.392704722</v>
      </c>
      <c r="H73" s="347">
        <f>SUM(H17:H72)</f>
        <v>26902737.392704722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26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934062.15757277235</v>
      </c>
      <c r="N87" s="508">
        <f>IF(J92&lt;D11,0,VLOOKUP(J92,C17:O72,11))</f>
        <v>934062.15757277235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1117542.3763000495</v>
      </c>
      <c r="N88" s="512">
        <f>IF(J92&lt;D11,0,VLOOKUP(J92,C99:P154,7))</f>
        <v>1117542.3763000495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Tulsa Southeast - E. 61st St 138 kV Rebuild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183480.21872727713</v>
      </c>
      <c r="N89" s="517">
        <f>+N88-N87</f>
        <v>183480.21872727713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TP2017011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8144614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12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193919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0</v>
      </c>
      <c r="F99" s="584">
        <v>6388896</v>
      </c>
      <c r="G99" s="608">
        <v>3194448</v>
      </c>
      <c r="H99" s="587">
        <v>329392.39438521734</v>
      </c>
      <c r="I99" s="607">
        <v>329392.39438521734</v>
      </c>
      <c r="J99" s="478">
        <f>+I99-H99</f>
        <v>0</v>
      </c>
      <c r="K99" s="478"/>
      <c r="L99" s="477">
        <f>+H99</f>
        <v>329392.39438521734</v>
      </c>
      <c r="M99" s="477">
        <f t="shared" ref="M99" si="11">IF(L99&lt;&gt;0,+H99-L99,0)</f>
        <v>0</v>
      </c>
      <c r="N99" s="477">
        <f>+I99</f>
        <v>329392.39438521734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78">
        <v>8144614</v>
      </c>
      <c r="E100" s="579">
        <v>189410</v>
      </c>
      <c r="F100" s="578">
        <v>7955204</v>
      </c>
      <c r="G100" s="579">
        <v>8049909</v>
      </c>
      <c r="H100" s="602">
        <v>1117542.3763000495</v>
      </c>
      <c r="I100" s="578">
        <v>1117542.3763000495</v>
      </c>
      <c r="J100" s="478">
        <f t="shared" ref="J100:J130" si="14">+I100-H100</f>
        <v>0</v>
      </c>
      <c r="K100" s="478"/>
      <c r="L100" s="476">
        <f>H100</f>
        <v>1117542.3763000495</v>
      </c>
      <c r="M100" s="348">
        <f>IF(L100&lt;&gt;0,+H100-L100,0)</f>
        <v>0</v>
      </c>
      <c r="N100" s="476">
        <f>I100</f>
        <v>1117542.3763000495</v>
      </c>
      <c r="O100" s="478">
        <f t="shared" si="12"/>
        <v>0</v>
      </c>
      <c r="P100" s="478">
        <f t="shared" si="13"/>
        <v>0</v>
      </c>
    </row>
    <row r="101" spans="1:16">
      <c r="B101" s="160" t="str">
        <f t="shared" ref="B101:B154" si="15">IF(D101=F100,"","IU")</f>
        <v/>
      </c>
      <c r="C101" s="472">
        <f>IF(D93="","-",+C100+1)</f>
        <v>2021</v>
      </c>
      <c r="D101" s="346">
        <f>IF(F100+SUM(E$99:E100)=D$92,F100,D$92-SUM(E$99:E100))</f>
        <v>7955204</v>
      </c>
      <c r="E101" s="484">
        <f t="shared" ref="E101:E154" si="16">IF(+J$96&lt;F100,J$96,D101)</f>
        <v>193919</v>
      </c>
      <c r="F101" s="485">
        <f t="shared" ref="F101:F154" si="17">+D101-E101</f>
        <v>7761285</v>
      </c>
      <c r="G101" s="485">
        <f t="shared" ref="G101:G154" si="18">+(F101+D101)/2</f>
        <v>7858244.5</v>
      </c>
      <c r="H101" s="613">
        <f t="shared" ref="H101:H154" si="19">+J$94*G101+E101</f>
        <v>1041126.1294029846</v>
      </c>
      <c r="I101" s="614">
        <f t="shared" ref="I101:I154" si="20">+J$95*G101+E101</f>
        <v>1041126.1294029846</v>
      </c>
      <c r="J101" s="478">
        <f t="shared" si="14"/>
        <v>0</v>
      </c>
      <c r="K101" s="478"/>
      <c r="L101" s="487"/>
      <c r="M101" s="478">
        <f t="shared" ref="M101:M130" si="21">IF(L101&lt;&gt;0,+H101-L101,0)</f>
        <v>0</v>
      </c>
      <c r="N101" s="487"/>
      <c r="O101" s="478">
        <f t="shared" si="12"/>
        <v>0</v>
      </c>
      <c r="P101" s="478">
        <f t="shared" si="13"/>
        <v>0</v>
      </c>
    </row>
    <row r="102" spans="1:16">
      <c r="B102" s="160" t="str">
        <f t="shared" si="15"/>
        <v/>
      </c>
      <c r="C102" s="472">
        <f>IF(D93="","-",+C101+1)</f>
        <v>2022</v>
      </c>
      <c r="D102" s="346">
        <f>IF(F101+SUM(E$99:E101)=D$92,F101,D$92-SUM(E$99:E101))</f>
        <v>7761285</v>
      </c>
      <c r="E102" s="484">
        <f t="shared" si="16"/>
        <v>193919</v>
      </c>
      <c r="F102" s="485">
        <f t="shared" si="17"/>
        <v>7567366</v>
      </c>
      <c r="G102" s="485">
        <f t="shared" si="18"/>
        <v>7664325.5</v>
      </c>
      <c r="H102" s="613">
        <f t="shared" si="19"/>
        <v>1020219.4804272882</v>
      </c>
      <c r="I102" s="614">
        <f t="shared" si="20"/>
        <v>1020219.4804272882</v>
      </c>
      <c r="J102" s="478">
        <f t="shared" si="14"/>
        <v>0</v>
      </c>
      <c r="K102" s="478"/>
      <c r="L102" s="487"/>
      <c r="M102" s="478">
        <f t="shared" si="21"/>
        <v>0</v>
      </c>
      <c r="N102" s="487"/>
      <c r="O102" s="478">
        <f t="shared" si="12"/>
        <v>0</v>
      </c>
      <c r="P102" s="478">
        <f t="shared" si="13"/>
        <v>0</v>
      </c>
    </row>
    <row r="103" spans="1:16">
      <c r="B103" s="160" t="str">
        <f t="shared" si="15"/>
        <v/>
      </c>
      <c r="C103" s="472">
        <f>IF(D93="","-",+C102+1)</f>
        <v>2023</v>
      </c>
      <c r="D103" s="346">
        <f>IF(F102+SUM(E$99:E102)=D$92,F102,D$92-SUM(E$99:E102))</f>
        <v>7567366</v>
      </c>
      <c r="E103" s="484">
        <f t="shared" si="16"/>
        <v>193919</v>
      </c>
      <c r="F103" s="485">
        <f t="shared" si="17"/>
        <v>7373447</v>
      </c>
      <c r="G103" s="485">
        <f t="shared" si="18"/>
        <v>7470406.5</v>
      </c>
      <c r="H103" s="613">
        <f t="shared" si="19"/>
        <v>999312.8314515918</v>
      </c>
      <c r="I103" s="614">
        <f t="shared" si="20"/>
        <v>999312.8314515918</v>
      </c>
      <c r="J103" s="478">
        <f t="shared" si="14"/>
        <v>0</v>
      </c>
      <c r="K103" s="478"/>
      <c r="L103" s="487"/>
      <c r="M103" s="478">
        <f t="shared" si="21"/>
        <v>0</v>
      </c>
      <c r="N103" s="487"/>
      <c r="O103" s="478">
        <f t="shared" si="12"/>
        <v>0</v>
      </c>
      <c r="P103" s="478">
        <f t="shared" si="13"/>
        <v>0</v>
      </c>
    </row>
    <row r="104" spans="1:16">
      <c r="B104" s="160" t="str">
        <f t="shared" si="15"/>
        <v/>
      </c>
      <c r="C104" s="472">
        <f>IF(D93="","-",+C103+1)</f>
        <v>2024</v>
      </c>
      <c r="D104" s="346">
        <f>IF(F103+SUM(E$99:E103)=D$92,F103,D$92-SUM(E$99:E103))</f>
        <v>7373447</v>
      </c>
      <c r="E104" s="484">
        <f t="shared" si="16"/>
        <v>193919</v>
      </c>
      <c r="F104" s="485">
        <f t="shared" si="17"/>
        <v>7179528</v>
      </c>
      <c r="G104" s="485">
        <f t="shared" si="18"/>
        <v>7276487.5</v>
      </c>
      <c r="H104" s="613">
        <f t="shared" si="19"/>
        <v>978406.18247589527</v>
      </c>
      <c r="I104" s="614">
        <f t="shared" si="20"/>
        <v>978406.18247589527</v>
      </c>
      <c r="J104" s="478">
        <f t="shared" si="14"/>
        <v>0</v>
      </c>
      <c r="K104" s="478"/>
      <c r="L104" s="487"/>
      <c r="M104" s="478">
        <f t="shared" si="21"/>
        <v>0</v>
      </c>
      <c r="N104" s="487"/>
      <c r="O104" s="478">
        <f t="shared" si="12"/>
        <v>0</v>
      </c>
      <c r="P104" s="478">
        <f t="shared" si="13"/>
        <v>0</v>
      </c>
    </row>
    <row r="105" spans="1:16">
      <c r="B105" s="160" t="str">
        <f t="shared" si="15"/>
        <v/>
      </c>
      <c r="C105" s="472">
        <f>IF(D93="","-",+C104+1)</f>
        <v>2025</v>
      </c>
      <c r="D105" s="346">
        <f>IF(F104+SUM(E$99:E104)=D$92,F104,D$92-SUM(E$99:E104))</f>
        <v>7179528</v>
      </c>
      <c r="E105" s="484">
        <f t="shared" si="16"/>
        <v>193919</v>
      </c>
      <c r="F105" s="485">
        <f t="shared" si="17"/>
        <v>6985609</v>
      </c>
      <c r="G105" s="485">
        <f t="shared" si="18"/>
        <v>7082568.5</v>
      </c>
      <c r="H105" s="613">
        <f t="shared" si="19"/>
        <v>957499.53350019886</v>
      </c>
      <c r="I105" s="614">
        <f t="shared" si="20"/>
        <v>957499.53350019886</v>
      </c>
      <c r="J105" s="478">
        <f t="shared" si="14"/>
        <v>0</v>
      </c>
      <c r="K105" s="478"/>
      <c r="L105" s="487"/>
      <c r="M105" s="478">
        <f t="shared" si="21"/>
        <v>0</v>
      </c>
      <c r="N105" s="487"/>
      <c r="O105" s="478">
        <f t="shared" si="12"/>
        <v>0</v>
      </c>
      <c r="P105" s="478">
        <f t="shared" si="13"/>
        <v>0</v>
      </c>
    </row>
    <row r="106" spans="1:16">
      <c r="B106" s="160" t="str">
        <f t="shared" si="15"/>
        <v/>
      </c>
      <c r="C106" s="472">
        <f>IF(D93="","-",+C105+1)</f>
        <v>2026</v>
      </c>
      <c r="D106" s="346">
        <f>IF(F105+SUM(E$99:E105)=D$92,F105,D$92-SUM(E$99:E105))</f>
        <v>6985609</v>
      </c>
      <c r="E106" s="484">
        <f t="shared" si="16"/>
        <v>193919</v>
      </c>
      <c r="F106" s="485">
        <f t="shared" si="17"/>
        <v>6791690</v>
      </c>
      <c r="G106" s="485">
        <f t="shared" si="18"/>
        <v>6888649.5</v>
      </c>
      <c r="H106" s="613">
        <f t="shared" si="19"/>
        <v>936592.88452450233</v>
      </c>
      <c r="I106" s="614">
        <f t="shared" si="20"/>
        <v>936592.88452450233</v>
      </c>
      <c r="J106" s="478">
        <f t="shared" si="14"/>
        <v>0</v>
      </c>
      <c r="K106" s="478"/>
      <c r="L106" s="487"/>
      <c r="M106" s="478">
        <f t="shared" si="21"/>
        <v>0</v>
      </c>
      <c r="N106" s="487"/>
      <c r="O106" s="478">
        <f t="shared" si="12"/>
        <v>0</v>
      </c>
      <c r="P106" s="478">
        <f t="shared" si="13"/>
        <v>0</v>
      </c>
    </row>
    <row r="107" spans="1:16">
      <c r="B107" s="160" t="str">
        <f t="shared" si="15"/>
        <v/>
      </c>
      <c r="C107" s="472">
        <f>IF(D93="","-",+C106+1)</f>
        <v>2027</v>
      </c>
      <c r="D107" s="346">
        <f>IF(F106+SUM(E$99:E106)=D$92,F106,D$92-SUM(E$99:E106))</f>
        <v>6791690</v>
      </c>
      <c r="E107" s="484">
        <f t="shared" si="16"/>
        <v>193919</v>
      </c>
      <c r="F107" s="485">
        <f t="shared" si="17"/>
        <v>6597771</v>
      </c>
      <c r="G107" s="485">
        <f t="shared" si="18"/>
        <v>6694730.5</v>
      </c>
      <c r="H107" s="613">
        <f t="shared" si="19"/>
        <v>915686.23554880591</v>
      </c>
      <c r="I107" s="614">
        <f t="shared" si="20"/>
        <v>915686.23554880591</v>
      </c>
      <c r="J107" s="478">
        <f t="shared" si="14"/>
        <v>0</v>
      </c>
      <c r="K107" s="478"/>
      <c r="L107" s="487"/>
      <c r="M107" s="478">
        <f t="shared" si="21"/>
        <v>0</v>
      </c>
      <c r="N107" s="487"/>
      <c r="O107" s="478">
        <f t="shared" si="12"/>
        <v>0</v>
      </c>
      <c r="P107" s="478">
        <f t="shared" si="13"/>
        <v>0</v>
      </c>
    </row>
    <row r="108" spans="1:16">
      <c r="B108" s="160" t="str">
        <f t="shared" si="15"/>
        <v/>
      </c>
      <c r="C108" s="472">
        <f>IF(D93="","-",+C107+1)</f>
        <v>2028</v>
      </c>
      <c r="D108" s="346">
        <f>IF(F107+SUM(E$99:E107)=D$92,F107,D$92-SUM(E$99:E107))</f>
        <v>6597771</v>
      </c>
      <c r="E108" s="484">
        <f t="shared" si="16"/>
        <v>193919</v>
      </c>
      <c r="F108" s="485">
        <f t="shared" si="17"/>
        <v>6403852</v>
      </c>
      <c r="G108" s="485">
        <f t="shared" si="18"/>
        <v>6500811.5</v>
      </c>
      <c r="H108" s="613">
        <f t="shared" si="19"/>
        <v>894779.58657310938</v>
      </c>
      <c r="I108" s="614">
        <f t="shared" si="20"/>
        <v>894779.58657310938</v>
      </c>
      <c r="J108" s="478">
        <f t="shared" si="14"/>
        <v>0</v>
      </c>
      <c r="K108" s="478"/>
      <c r="L108" s="487"/>
      <c r="M108" s="478">
        <f t="shared" si="21"/>
        <v>0</v>
      </c>
      <c r="N108" s="487"/>
      <c r="O108" s="478">
        <f t="shared" si="12"/>
        <v>0</v>
      </c>
      <c r="P108" s="478">
        <f t="shared" si="13"/>
        <v>0</v>
      </c>
    </row>
    <row r="109" spans="1:16">
      <c r="B109" s="160" t="str">
        <f t="shared" si="15"/>
        <v/>
      </c>
      <c r="C109" s="472">
        <f>IF(D93="","-",+C108+1)</f>
        <v>2029</v>
      </c>
      <c r="D109" s="346">
        <f>IF(F108+SUM(E$99:E108)=D$92,F108,D$92-SUM(E$99:E108))</f>
        <v>6403852</v>
      </c>
      <c r="E109" s="484">
        <f t="shared" si="16"/>
        <v>193919</v>
      </c>
      <c r="F109" s="485">
        <f t="shared" si="17"/>
        <v>6209933</v>
      </c>
      <c r="G109" s="485">
        <f t="shared" si="18"/>
        <v>6306892.5</v>
      </c>
      <c r="H109" s="613">
        <f t="shared" si="19"/>
        <v>873872.93759741297</v>
      </c>
      <c r="I109" s="614">
        <f t="shared" si="20"/>
        <v>873872.93759741297</v>
      </c>
      <c r="J109" s="478">
        <f t="shared" si="14"/>
        <v>0</v>
      </c>
      <c r="K109" s="478"/>
      <c r="L109" s="487"/>
      <c r="M109" s="478">
        <f t="shared" si="21"/>
        <v>0</v>
      </c>
      <c r="N109" s="487"/>
      <c r="O109" s="478">
        <f t="shared" si="12"/>
        <v>0</v>
      </c>
      <c r="P109" s="478">
        <f t="shared" si="13"/>
        <v>0</v>
      </c>
    </row>
    <row r="110" spans="1:16">
      <c r="B110" s="160" t="str">
        <f t="shared" si="15"/>
        <v/>
      </c>
      <c r="C110" s="472">
        <f>IF(D93="","-",+C109+1)</f>
        <v>2030</v>
      </c>
      <c r="D110" s="346">
        <f>IF(F109+SUM(E$99:E109)=D$92,F109,D$92-SUM(E$99:E109))</f>
        <v>6209933</v>
      </c>
      <c r="E110" s="484">
        <f t="shared" si="16"/>
        <v>193919</v>
      </c>
      <c r="F110" s="485">
        <f t="shared" si="17"/>
        <v>6016014</v>
      </c>
      <c r="G110" s="485">
        <f t="shared" si="18"/>
        <v>6112973.5</v>
      </c>
      <c r="H110" s="613">
        <f t="shared" si="19"/>
        <v>852966.28862171643</v>
      </c>
      <c r="I110" s="614">
        <f t="shared" si="20"/>
        <v>852966.28862171643</v>
      </c>
      <c r="J110" s="478">
        <f t="shared" si="14"/>
        <v>0</v>
      </c>
      <c r="K110" s="478"/>
      <c r="L110" s="487"/>
      <c r="M110" s="478">
        <f t="shared" si="21"/>
        <v>0</v>
      </c>
      <c r="N110" s="487"/>
      <c r="O110" s="478">
        <f t="shared" si="12"/>
        <v>0</v>
      </c>
      <c r="P110" s="478">
        <f t="shared" si="13"/>
        <v>0</v>
      </c>
    </row>
    <row r="111" spans="1:16">
      <c r="B111" s="160" t="str">
        <f t="shared" si="15"/>
        <v/>
      </c>
      <c r="C111" s="472">
        <f>IF(D93="","-",+C110+1)</f>
        <v>2031</v>
      </c>
      <c r="D111" s="346">
        <f>IF(F110+SUM(E$99:E110)=D$92,F110,D$92-SUM(E$99:E110))</f>
        <v>6016014</v>
      </c>
      <c r="E111" s="484">
        <f t="shared" si="16"/>
        <v>193919</v>
      </c>
      <c r="F111" s="485">
        <f t="shared" si="17"/>
        <v>5822095</v>
      </c>
      <c r="G111" s="485">
        <f t="shared" si="18"/>
        <v>5919054.5</v>
      </c>
      <c r="H111" s="613">
        <f t="shared" si="19"/>
        <v>832059.63964602002</v>
      </c>
      <c r="I111" s="614">
        <f t="shared" si="20"/>
        <v>832059.63964602002</v>
      </c>
      <c r="J111" s="478">
        <f t="shared" si="14"/>
        <v>0</v>
      </c>
      <c r="K111" s="478"/>
      <c r="L111" s="487"/>
      <c r="M111" s="478">
        <f t="shared" si="21"/>
        <v>0</v>
      </c>
      <c r="N111" s="487"/>
      <c r="O111" s="478">
        <f t="shared" si="12"/>
        <v>0</v>
      </c>
      <c r="P111" s="478">
        <f t="shared" si="13"/>
        <v>0</v>
      </c>
    </row>
    <row r="112" spans="1:16">
      <c r="B112" s="160" t="str">
        <f t="shared" si="15"/>
        <v/>
      </c>
      <c r="C112" s="472">
        <f>IF(D93="","-",+C111+1)</f>
        <v>2032</v>
      </c>
      <c r="D112" s="346">
        <f>IF(F111+SUM(E$99:E111)=D$92,F111,D$92-SUM(E$99:E111))</f>
        <v>5822095</v>
      </c>
      <c r="E112" s="484">
        <f t="shared" si="16"/>
        <v>193919</v>
      </c>
      <c r="F112" s="485">
        <f t="shared" si="17"/>
        <v>5628176</v>
      </c>
      <c r="G112" s="485">
        <f t="shared" si="18"/>
        <v>5725135.5</v>
      </c>
      <c r="H112" s="613">
        <f t="shared" si="19"/>
        <v>811152.9906703236</v>
      </c>
      <c r="I112" s="614">
        <f t="shared" si="20"/>
        <v>811152.9906703236</v>
      </c>
      <c r="J112" s="478">
        <f t="shared" si="14"/>
        <v>0</v>
      </c>
      <c r="K112" s="478"/>
      <c r="L112" s="487"/>
      <c r="M112" s="478">
        <f t="shared" si="21"/>
        <v>0</v>
      </c>
      <c r="N112" s="487"/>
      <c r="O112" s="478">
        <f t="shared" si="12"/>
        <v>0</v>
      </c>
      <c r="P112" s="478">
        <f t="shared" si="13"/>
        <v>0</v>
      </c>
    </row>
    <row r="113" spans="2:16">
      <c r="B113" s="160" t="str">
        <f t="shared" si="15"/>
        <v/>
      </c>
      <c r="C113" s="472">
        <f>IF(D93="","-",+C112+1)</f>
        <v>2033</v>
      </c>
      <c r="D113" s="346">
        <f>IF(F112+SUM(E$99:E112)=D$92,F112,D$92-SUM(E$99:E112))</f>
        <v>5628176</v>
      </c>
      <c r="E113" s="484">
        <f t="shared" si="16"/>
        <v>193919</v>
      </c>
      <c r="F113" s="485">
        <f t="shared" si="17"/>
        <v>5434257</v>
      </c>
      <c r="G113" s="485">
        <f t="shared" si="18"/>
        <v>5531216.5</v>
      </c>
      <c r="H113" s="613">
        <f t="shared" si="19"/>
        <v>790246.34169462707</v>
      </c>
      <c r="I113" s="614">
        <f t="shared" si="20"/>
        <v>790246.34169462707</v>
      </c>
      <c r="J113" s="478">
        <f t="shared" si="14"/>
        <v>0</v>
      </c>
      <c r="K113" s="478"/>
      <c r="L113" s="487"/>
      <c r="M113" s="478">
        <f t="shared" si="21"/>
        <v>0</v>
      </c>
      <c r="N113" s="487"/>
      <c r="O113" s="478">
        <f t="shared" si="12"/>
        <v>0</v>
      </c>
      <c r="P113" s="478">
        <f t="shared" si="13"/>
        <v>0</v>
      </c>
    </row>
    <row r="114" spans="2:16">
      <c r="B114" s="160" t="str">
        <f t="shared" si="15"/>
        <v/>
      </c>
      <c r="C114" s="472">
        <f>IF(D93="","-",+C113+1)</f>
        <v>2034</v>
      </c>
      <c r="D114" s="346">
        <f>IF(F113+SUM(E$99:E113)=D$92,F113,D$92-SUM(E$99:E113))</f>
        <v>5434257</v>
      </c>
      <c r="E114" s="484">
        <f t="shared" si="16"/>
        <v>193919</v>
      </c>
      <c r="F114" s="485">
        <f t="shared" si="17"/>
        <v>5240338</v>
      </c>
      <c r="G114" s="485">
        <f t="shared" si="18"/>
        <v>5337297.5</v>
      </c>
      <c r="H114" s="613">
        <f t="shared" si="19"/>
        <v>769339.69271893066</v>
      </c>
      <c r="I114" s="614">
        <f t="shared" si="20"/>
        <v>769339.69271893066</v>
      </c>
      <c r="J114" s="478">
        <f t="shared" si="14"/>
        <v>0</v>
      </c>
      <c r="K114" s="478"/>
      <c r="L114" s="487"/>
      <c r="M114" s="478">
        <f t="shared" si="21"/>
        <v>0</v>
      </c>
      <c r="N114" s="487"/>
      <c r="O114" s="478">
        <f t="shared" si="12"/>
        <v>0</v>
      </c>
      <c r="P114" s="478">
        <f t="shared" si="13"/>
        <v>0</v>
      </c>
    </row>
    <row r="115" spans="2:16">
      <c r="B115" s="160" t="str">
        <f t="shared" si="15"/>
        <v/>
      </c>
      <c r="C115" s="472">
        <f>IF(D93="","-",+C114+1)</f>
        <v>2035</v>
      </c>
      <c r="D115" s="346">
        <f>IF(F114+SUM(E$99:E114)=D$92,F114,D$92-SUM(E$99:E114))</f>
        <v>5240338</v>
      </c>
      <c r="E115" s="484">
        <f t="shared" si="16"/>
        <v>193919</v>
      </c>
      <c r="F115" s="485">
        <f t="shared" si="17"/>
        <v>5046419</v>
      </c>
      <c r="G115" s="485">
        <f t="shared" si="18"/>
        <v>5143378.5</v>
      </c>
      <c r="H115" s="613">
        <f t="shared" si="19"/>
        <v>748433.04374323413</v>
      </c>
      <c r="I115" s="614">
        <f t="shared" si="20"/>
        <v>748433.04374323413</v>
      </c>
      <c r="J115" s="478">
        <f t="shared" si="14"/>
        <v>0</v>
      </c>
      <c r="K115" s="478"/>
      <c r="L115" s="487"/>
      <c r="M115" s="478">
        <f t="shared" si="21"/>
        <v>0</v>
      </c>
      <c r="N115" s="487"/>
      <c r="O115" s="478">
        <f t="shared" si="12"/>
        <v>0</v>
      </c>
      <c r="P115" s="478">
        <f t="shared" si="13"/>
        <v>0</v>
      </c>
    </row>
    <row r="116" spans="2:16">
      <c r="B116" s="160" t="str">
        <f t="shared" si="15"/>
        <v/>
      </c>
      <c r="C116" s="472">
        <f>IF(D93="","-",+C115+1)</f>
        <v>2036</v>
      </c>
      <c r="D116" s="346">
        <f>IF(F115+SUM(E$99:E115)=D$92,F115,D$92-SUM(E$99:E115))</f>
        <v>5046419</v>
      </c>
      <c r="E116" s="484">
        <f t="shared" si="16"/>
        <v>193919</v>
      </c>
      <c r="F116" s="485">
        <f t="shared" si="17"/>
        <v>4852500</v>
      </c>
      <c r="G116" s="485">
        <f t="shared" si="18"/>
        <v>4949459.5</v>
      </c>
      <c r="H116" s="613">
        <f t="shared" si="19"/>
        <v>727526.39476753771</v>
      </c>
      <c r="I116" s="614">
        <f t="shared" si="20"/>
        <v>727526.39476753771</v>
      </c>
      <c r="J116" s="478">
        <f t="shared" si="14"/>
        <v>0</v>
      </c>
      <c r="K116" s="478"/>
      <c r="L116" s="487"/>
      <c r="M116" s="478">
        <f t="shared" si="21"/>
        <v>0</v>
      </c>
      <c r="N116" s="487"/>
      <c r="O116" s="478">
        <f t="shared" si="12"/>
        <v>0</v>
      </c>
      <c r="P116" s="478">
        <f t="shared" si="13"/>
        <v>0</v>
      </c>
    </row>
    <row r="117" spans="2:16">
      <c r="B117" s="160" t="str">
        <f t="shared" si="15"/>
        <v/>
      </c>
      <c r="C117" s="472">
        <f>IF(D93="","-",+C116+1)</f>
        <v>2037</v>
      </c>
      <c r="D117" s="346">
        <f>IF(F116+SUM(E$99:E116)=D$92,F116,D$92-SUM(E$99:E116))</f>
        <v>4852500</v>
      </c>
      <c r="E117" s="484">
        <f t="shared" si="16"/>
        <v>193919</v>
      </c>
      <c r="F117" s="485">
        <f t="shared" si="17"/>
        <v>4658581</v>
      </c>
      <c r="G117" s="485">
        <f t="shared" si="18"/>
        <v>4755540.5</v>
      </c>
      <c r="H117" s="613">
        <f t="shared" si="19"/>
        <v>706619.7457918413</v>
      </c>
      <c r="I117" s="614">
        <f t="shared" si="20"/>
        <v>706619.7457918413</v>
      </c>
      <c r="J117" s="478">
        <f t="shared" si="14"/>
        <v>0</v>
      </c>
      <c r="K117" s="478"/>
      <c r="L117" s="487"/>
      <c r="M117" s="478">
        <f t="shared" si="21"/>
        <v>0</v>
      </c>
      <c r="N117" s="487"/>
      <c r="O117" s="478">
        <f t="shared" si="12"/>
        <v>0</v>
      </c>
      <c r="P117" s="478">
        <f t="shared" si="13"/>
        <v>0</v>
      </c>
    </row>
    <row r="118" spans="2:16">
      <c r="B118" s="160" t="str">
        <f t="shared" si="15"/>
        <v/>
      </c>
      <c r="C118" s="472">
        <f>IF(D93="","-",+C117+1)</f>
        <v>2038</v>
      </c>
      <c r="D118" s="346">
        <f>IF(F117+SUM(E$99:E117)=D$92,F117,D$92-SUM(E$99:E117))</f>
        <v>4658581</v>
      </c>
      <c r="E118" s="484">
        <f t="shared" si="16"/>
        <v>193919</v>
      </c>
      <c r="F118" s="485">
        <f t="shared" si="17"/>
        <v>4464662</v>
      </c>
      <c r="G118" s="485">
        <f t="shared" si="18"/>
        <v>4561621.5</v>
      </c>
      <c r="H118" s="613">
        <f t="shared" si="19"/>
        <v>685713.09681614477</v>
      </c>
      <c r="I118" s="614">
        <f t="shared" si="20"/>
        <v>685713.09681614477</v>
      </c>
      <c r="J118" s="478">
        <f t="shared" si="14"/>
        <v>0</v>
      </c>
      <c r="K118" s="478"/>
      <c r="L118" s="487"/>
      <c r="M118" s="478">
        <f t="shared" si="21"/>
        <v>0</v>
      </c>
      <c r="N118" s="487"/>
      <c r="O118" s="478">
        <f t="shared" si="12"/>
        <v>0</v>
      </c>
      <c r="P118" s="478">
        <f t="shared" si="13"/>
        <v>0</v>
      </c>
    </row>
    <row r="119" spans="2:16">
      <c r="B119" s="160" t="str">
        <f t="shared" si="15"/>
        <v/>
      </c>
      <c r="C119" s="472">
        <f>IF(D93="","-",+C118+1)</f>
        <v>2039</v>
      </c>
      <c r="D119" s="346">
        <f>IF(F118+SUM(E$99:E118)=D$92,F118,D$92-SUM(E$99:E118))</f>
        <v>4464662</v>
      </c>
      <c r="E119" s="484">
        <f t="shared" si="16"/>
        <v>193919</v>
      </c>
      <c r="F119" s="485">
        <f t="shared" si="17"/>
        <v>4270743</v>
      </c>
      <c r="G119" s="485">
        <f t="shared" si="18"/>
        <v>4367702.5</v>
      </c>
      <c r="H119" s="613">
        <f t="shared" si="19"/>
        <v>664806.44784044824</v>
      </c>
      <c r="I119" s="614">
        <f t="shared" si="20"/>
        <v>664806.44784044824</v>
      </c>
      <c r="J119" s="478">
        <f t="shared" si="14"/>
        <v>0</v>
      </c>
      <c r="K119" s="478"/>
      <c r="L119" s="487"/>
      <c r="M119" s="478">
        <f t="shared" si="21"/>
        <v>0</v>
      </c>
      <c r="N119" s="487"/>
      <c r="O119" s="478">
        <f t="shared" si="12"/>
        <v>0</v>
      </c>
      <c r="P119" s="478">
        <f t="shared" si="13"/>
        <v>0</v>
      </c>
    </row>
    <row r="120" spans="2:16">
      <c r="B120" s="160" t="str">
        <f t="shared" si="15"/>
        <v/>
      </c>
      <c r="C120" s="472">
        <f>IF(D93="","-",+C119+1)</f>
        <v>2040</v>
      </c>
      <c r="D120" s="346">
        <f>IF(F119+SUM(E$99:E119)=D$92,F119,D$92-SUM(E$99:E119))</f>
        <v>4270743</v>
      </c>
      <c r="E120" s="484">
        <f t="shared" si="16"/>
        <v>193919</v>
      </c>
      <c r="F120" s="485">
        <f t="shared" si="17"/>
        <v>4076824</v>
      </c>
      <c r="G120" s="485">
        <f t="shared" si="18"/>
        <v>4173783.5</v>
      </c>
      <c r="H120" s="613">
        <f t="shared" si="19"/>
        <v>643899.79886475182</v>
      </c>
      <c r="I120" s="614">
        <f t="shared" si="20"/>
        <v>643899.79886475182</v>
      </c>
      <c r="J120" s="478">
        <f t="shared" si="14"/>
        <v>0</v>
      </c>
      <c r="K120" s="478"/>
      <c r="L120" s="487"/>
      <c r="M120" s="478">
        <f t="shared" si="21"/>
        <v>0</v>
      </c>
      <c r="N120" s="487"/>
      <c r="O120" s="478">
        <f t="shared" si="12"/>
        <v>0</v>
      </c>
      <c r="P120" s="478">
        <f t="shared" si="13"/>
        <v>0</v>
      </c>
    </row>
    <row r="121" spans="2:16">
      <c r="B121" s="160" t="str">
        <f t="shared" si="15"/>
        <v/>
      </c>
      <c r="C121" s="472">
        <f>IF(D93="","-",+C120+1)</f>
        <v>2041</v>
      </c>
      <c r="D121" s="346">
        <f>IF(F120+SUM(E$99:E120)=D$92,F120,D$92-SUM(E$99:E120))</f>
        <v>4076824</v>
      </c>
      <c r="E121" s="484">
        <f t="shared" si="16"/>
        <v>193919</v>
      </c>
      <c r="F121" s="485">
        <f t="shared" si="17"/>
        <v>3882905</v>
      </c>
      <c r="G121" s="485">
        <f t="shared" si="18"/>
        <v>3979864.5</v>
      </c>
      <c r="H121" s="613">
        <f t="shared" si="19"/>
        <v>622993.14988905541</v>
      </c>
      <c r="I121" s="614">
        <f t="shared" si="20"/>
        <v>622993.14988905541</v>
      </c>
      <c r="J121" s="478">
        <f t="shared" si="14"/>
        <v>0</v>
      </c>
      <c r="K121" s="478"/>
      <c r="L121" s="487"/>
      <c r="M121" s="478">
        <f t="shared" si="21"/>
        <v>0</v>
      </c>
      <c r="N121" s="487"/>
      <c r="O121" s="478">
        <f t="shared" si="12"/>
        <v>0</v>
      </c>
      <c r="P121" s="478">
        <f t="shared" si="13"/>
        <v>0</v>
      </c>
    </row>
    <row r="122" spans="2:16">
      <c r="B122" s="160" t="str">
        <f t="shared" si="15"/>
        <v/>
      </c>
      <c r="C122" s="472">
        <f>IF(D93="","-",+C121+1)</f>
        <v>2042</v>
      </c>
      <c r="D122" s="346">
        <f>IF(F121+SUM(E$99:E121)=D$92,F121,D$92-SUM(E$99:E121))</f>
        <v>3882905</v>
      </c>
      <c r="E122" s="484">
        <f t="shared" si="16"/>
        <v>193919</v>
      </c>
      <c r="F122" s="485">
        <f t="shared" si="17"/>
        <v>3688986</v>
      </c>
      <c r="G122" s="485">
        <f t="shared" si="18"/>
        <v>3785945.5</v>
      </c>
      <c r="H122" s="613">
        <f t="shared" si="19"/>
        <v>602086.50091335888</v>
      </c>
      <c r="I122" s="614">
        <f t="shared" si="20"/>
        <v>602086.50091335888</v>
      </c>
      <c r="J122" s="478">
        <f t="shared" si="14"/>
        <v>0</v>
      </c>
      <c r="K122" s="478"/>
      <c r="L122" s="487"/>
      <c r="M122" s="478">
        <f t="shared" si="21"/>
        <v>0</v>
      </c>
      <c r="N122" s="487"/>
      <c r="O122" s="478">
        <f t="shared" si="12"/>
        <v>0</v>
      </c>
      <c r="P122" s="478">
        <f t="shared" si="13"/>
        <v>0</v>
      </c>
    </row>
    <row r="123" spans="2:16">
      <c r="B123" s="160" t="str">
        <f t="shared" si="15"/>
        <v/>
      </c>
      <c r="C123" s="472">
        <f>IF(D93="","-",+C122+1)</f>
        <v>2043</v>
      </c>
      <c r="D123" s="346">
        <f>IF(F122+SUM(E$99:E122)=D$92,F122,D$92-SUM(E$99:E122))</f>
        <v>3688986</v>
      </c>
      <c r="E123" s="484">
        <f t="shared" si="16"/>
        <v>193919</v>
      </c>
      <c r="F123" s="485">
        <f t="shared" si="17"/>
        <v>3495067</v>
      </c>
      <c r="G123" s="485">
        <f t="shared" si="18"/>
        <v>3592026.5</v>
      </c>
      <c r="H123" s="613">
        <f t="shared" si="19"/>
        <v>581179.85193766246</v>
      </c>
      <c r="I123" s="614">
        <f t="shared" si="20"/>
        <v>581179.85193766246</v>
      </c>
      <c r="J123" s="478">
        <f t="shared" si="14"/>
        <v>0</v>
      </c>
      <c r="K123" s="478"/>
      <c r="L123" s="487"/>
      <c r="M123" s="478">
        <f t="shared" si="21"/>
        <v>0</v>
      </c>
      <c r="N123" s="487"/>
      <c r="O123" s="478">
        <f t="shared" si="12"/>
        <v>0</v>
      </c>
      <c r="P123" s="478">
        <f t="shared" si="13"/>
        <v>0</v>
      </c>
    </row>
    <row r="124" spans="2:16">
      <c r="B124" s="160" t="str">
        <f t="shared" si="15"/>
        <v/>
      </c>
      <c r="C124" s="472">
        <f>IF(D93="","-",+C123+1)</f>
        <v>2044</v>
      </c>
      <c r="D124" s="346">
        <f>IF(F123+SUM(E$99:E123)=D$92,F123,D$92-SUM(E$99:E123))</f>
        <v>3495067</v>
      </c>
      <c r="E124" s="484">
        <f t="shared" si="16"/>
        <v>193919</v>
      </c>
      <c r="F124" s="485">
        <f t="shared" si="17"/>
        <v>3301148</v>
      </c>
      <c r="G124" s="485">
        <f t="shared" si="18"/>
        <v>3398107.5</v>
      </c>
      <c r="H124" s="613">
        <f t="shared" si="19"/>
        <v>560273.20296196593</v>
      </c>
      <c r="I124" s="614">
        <f t="shared" si="20"/>
        <v>560273.20296196593</v>
      </c>
      <c r="J124" s="478">
        <f t="shared" si="14"/>
        <v>0</v>
      </c>
      <c r="K124" s="478"/>
      <c r="L124" s="487"/>
      <c r="M124" s="478">
        <f t="shared" si="21"/>
        <v>0</v>
      </c>
      <c r="N124" s="487"/>
      <c r="O124" s="478">
        <f t="shared" si="12"/>
        <v>0</v>
      </c>
      <c r="P124" s="478">
        <f t="shared" si="13"/>
        <v>0</v>
      </c>
    </row>
    <row r="125" spans="2:16">
      <c r="B125" s="160" t="str">
        <f t="shared" si="15"/>
        <v/>
      </c>
      <c r="C125" s="472">
        <f>IF(D93="","-",+C124+1)</f>
        <v>2045</v>
      </c>
      <c r="D125" s="346">
        <f>IF(F124+SUM(E$99:E124)=D$92,F124,D$92-SUM(E$99:E124))</f>
        <v>3301148</v>
      </c>
      <c r="E125" s="484">
        <f t="shared" si="16"/>
        <v>193919</v>
      </c>
      <c r="F125" s="485">
        <f t="shared" si="17"/>
        <v>3107229</v>
      </c>
      <c r="G125" s="485">
        <f t="shared" si="18"/>
        <v>3204188.5</v>
      </c>
      <c r="H125" s="613">
        <f t="shared" si="19"/>
        <v>539366.55398626952</v>
      </c>
      <c r="I125" s="614">
        <f t="shared" si="20"/>
        <v>539366.55398626952</v>
      </c>
      <c r="J125" s="478">
        <f t="shared" si="14"/>
        <v>0</v>
      </c>
      <c r="K125" s="478"/>
      <c r="L125" s="487"/>
      <c r="M125" s="478">
        <f t="shared" si="21"/>
        <v>0</v>
      </c>
      <c r="N125" s="487"/>
      <c r="O125" s="478">
        <f t="shared" si="12"/>
        <v>0</v>
      </c>
      <c r="P125" s="478">
        <f t="shared" si="13"/>
        <v>0</v>
      </c>
    </row>
    <row r="126" spans="2:16">
      <c r="B126" s="160" t="str">
        <f t="shared" si="15"/>
        <v/>
      </c>
      <c r="C126" s="472">
        <f>IF(D93="","-",+C125+1)</f>
        <v>2046</v>
      </c>
      <c r="D126" s="346">
        <f>IF(F125+SUM(E$99:E125)=D$92,F125,D$92-SUM(E$99:E125))</f>
        <v>3107229</v>
      </c>
      <c r="E126" s="484">
        <f t="shared" si="16"/>
        <v>193919</v>
      </c>
      <c r="F126" s="485">
        <f t="shared" si="17"/>
        <v>2913310</v>
      </c>
      <c r="G126" s="485">
        <f t="shared" si="18"/>
        <v>3010269.5</v>
      </c>
      <c r="H126" s="613">
        <f t="shared" si="19"/>
        <v>518459.90501057304</v>
      </c>
      <c r="I126" s="614">
        <f t="shared" si="20"/>
        <v>518459.90501057304</v>
      </c>
      <c r="J126" s="478">
        <f t="shared" si="14"/>
        <v>0</v>
      </c>
      <c r="K126" s="478"/>
      <c r="L126" s="487"/>
      <c r="M126" s="478">
        <f t="shared" si="21"/>
        <v>0</v>
      </c>
      <c r="N126" s="487"/>
      <c r="O126" s="478">
        <f t="shared" si="12"/>
        <v>0</v>
      </c>
      <c r="P126" s="478">
        <f t="shared" si="13"/>
        <v>0</v>
      </c>
    </row>
    <row r="127" spans="2:16">
      <c r="B127" s="160" t="str">
        <f t="shared" si="15"/>
        <v/>
      </c>
      <c r="C127" s="472">
        <f>IF(D93="","-",+C126+1)</f>
        <v>2047</v>
      </c>
      <c r="D127" s="346">
        <f>IF(F126+SUM(E$99:E126)=D$92,F126,D$92-SUM(E$99:E126))</f>
        <v>2913310</v>
      </c>
      <c r="E127" s="484">
        <f t="shared" si="16"/>
        <v>193919</v>
      </c>
      <c r="F127" s="485">
        <f t="shared" si="17"/>
        <v>2719391</v>
      </c>
      <c r="G127" s="485">
        <f t="shared" si="18"/>
        <v>2816350.5</v>
      </c>
      <c r="H127" s="613">
        <f t="shared" si="19"/>
        <v>497553.25603487657</v>
      </c>
      <c r="I127" s="614">
        <f t="shared" si="20"/>
        <v>497553.25603487657</v>
      </c>
      <c r="J127" s="478">
        <f t="shared" si="14"/>
        <v>0</v>
      </c>
      <c r="K127" s="478"/>
      <c r="L127" s="487"/>
      <c r="M127" s="478">
        <f t="shared" si="21"/>
        <v>0</v>
      </c>
      <c r="N127" s="487"/>
      <c r="O127" s="478">
        <f t="shared" si="12"/>
        <v>0</v>
      </c>
      <c r="P127" s="478">
        <f t="shared" si="13"/>
        <v>0</v>
      </c>
    </row>
    <row r="128" spans="2:16">
      <c r="B128" s="160" t="str">
        <f t="shared" si="15"/>
        <v/>
      </c>
      <c r="C128" s="472">
        <f>IF(D93="","-",+C127+1)</f>
        <v>2048</v>
      </c>
      <c r="D128" s="346">
        <f>IF(F127+SUM(E$99:E127)=D$92,F127,D$92-SUM(E$99:E127))</f>
        <v>2719391</v>
      </c>
      <c r="E128" s="484">
        <f t="shared" si="16"/>
        <v>193919</v>
      </c>
      <c r="F128" s="485">
        <f t="shared" si="17"/>
        <v>2525472</v>
      </c>
      <c r="G128" s="485">
        <f t="shared" si="18"/>
        <v>2622431.5</v>
      </c>
      <c r="H128" s="613">
        <f t="shared" si="19"/>
        <v>476646.6070591801</v>
      </c>
      <c r="I128" s="614">
        <f t="shared" si="20"/>
        <v>476646.6070591801</v>
      </c>
      <c r="J128" s="478">
        <f t="shared" si="14"/>
        <v>0</v>
      </c>
      <c r="K128" s="478"/>
      <c r="L128" s="487"/>
      <c r="M128" s="478">
        <f t="shared" si="21"/>
        <v>0</v>
      </c>
      <c r="N128" s="487"/>
      <c r="O128" s="478">
        <f t="shared" si="12"/>
        <v>0</v>
      </c>
      <c r="P128" s="478">
        <f t="shared" si="13"/>
        <v>0</v>
      </c>
    </row>
    <row r="129" spans="2:16">
      <c r="B129" s="160" t="str">
        <f t="shared" si="15"/>
        <v/>
      </c>
      <c r="C129" s="472">
        <f>IF(D93="","-",+C128+1)</f>
        <v>2049</v>
      </c>
      <c r="D129" s="346">
        <f>IF(F128+SUM(E$99:E128)=D$92,F128,D$92-SUM(E$99:E128))</f>
        <v>2525472</v>
      </c>
      <c r="E129" s="484">
        <f t="shared" si="16"/>
        <v>193919</v>
      </c>
      <c r="F129" s="485">
        <f t="shared" si="17"/>
        <v>2331553</v>
      </c>
      <c r="G129" s="485">
        <f t="shared" si="18"/>
        <v>2428512.5</v>
      </c>
      <c r="H129" s="613">
        <f t="shared" si="19"/>
        <v>455739.95808348362</v>
      </c>
      <c r="I129" s="614">
        <f t="shared" si="20"/>
        <v>455739.95808348362</v>
      </c>
      <c r="J129" s="478">
        <f t="shared" si="14"/>
        <v>0</v>
      </c>
      <c r="K129" s="478"/>
      <c r="L129" s="487"/>
      <c r="M129" s="478">
        <f t="shared" si="21"/>
        <v>0</v>
      </c>
      <c r="N129" s="487"/>
      <c r="O129" s="478">
        <f t="shared" si="12"/>
        <v>0</v>
      </c>
      <c r="P129" s="478">
        <f t="shared" si="13"/>
        <v>0</v>
      </c>
    </row>
    <row r="130" spans="2:16">
      <c r="B130" s="160" t="str">
        <f t="shared" si="15"/>
        <v/>
      </c>
      <c r="C130" s="472">
        <f>IF(D93="","-",+C129+1)</f>
        <v>2050</v>
      </c>
      <c r="D130" s="346">
        <f>IF(F129+SUM(E$99:E129)=D$92,F129,D$92-SUM(E$99:E129))</f>
        <v>2331553</v>
      </c>
      <c r="E130" s="484">
        <f t="shared" si="16"/>
        <v>193919</v>
      </c>
      <c r="F130" s="485">
        <f t="shared" si="17"/>
        <v>2137634</v>
      </c>
      <c r="G130" s="485">
        <f t="shared" si="18"/>
        <v>2234593.5</v>
      </c>
      <c r="H130" s="613">
        <f t="shared" si="19"/>
        <v>434833.30910778721</v>
      </c>
      <c r="I130" s="614">
        <f t="shared" si="20"/>
        <v>434833.30910778721</v>
      </c>
      <c r="J130" s="478">
        <f t="shared" si="14"/>
        <v>0</v>
      </c>
      <c r="K130" s="478"/>
      <c r="L130" s="487"/>
      <c r="M130" s="478">
        <f t="shared" si="21"/>
        <v>0</v>
      </c>
      <c r="N130" s="487"/>
      <c r="O130" s="478">
        <f t="shared" si="12"/>
        <v>0</v>
      </c>
      <c r="P130" s="478">
        <f t="shared" si="13"/>
        <v>0</v>
      </c>
    </row>
    <row r="131" spans="2:16">
      <c r="B131" s="160" t="str">
        <f t="shared" si="15"/>
        <v/>
      </c>
      <c r="C131" s="472">
        <f>IF(D93="","-",+C130+1)</f>
        <v>2051</v>
      </c>
      <c r="D131" s="346">
        <f>IF(F130+SUM(E$99:E130)=D$92,F130,D$92-SUM(E$99:E130))</f>
        <v>2137634</v>
      </c>
      <c r="E131" s="484">
        <f t="shared" si="16"/>
        <v>193919</v>
      </c>
      <c r="F131" s="485">
        <f t="shared" si="17"/>
        <v>1943715</v>
      </c>
      <c r="G131" s="485">
        <f t="shared" si="18"/>
        <v>2040674.5</v>
      </c>
      <c r="H131" s="613">
        <f t="shared" si="19"/>
        <v>413926.66013209068</v>
      </c>
      <c r="I131" s="614">
        <f t="shared" si="20"/>
        <v>413926.66013209068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5"/>
        <v/>
      </c>
      <c r="C132" s="472">
        <f>IF(D93="","-",+C131+1)</f>
        <v>2052</v>
      </c>
      <c r="D132" s="346">
        <f>IF(F131+SUM(E$99:E131)=D$92,F131,D$92-SUM(E$99:E131))</f>
        <v>1943715</v>
      </c>
      <c r="E132" s="484">
        <f t="shared" si="16"/>
        <v>193919</v>
      </c>
      <c r="F132" s="485">
        <f t="shared" si="17"/>
        <v>1749796</v>
      </c>
      <c r="G132" s="485">
        <f t="shared" si="18"/>
        <v>1846755.5</v>
      </c>
      <c r="H132" s="613">
        <f t="shared" si="19"/>
        <v>393020.01115639426</v>
      </c>
      <c r="I132" s="614">
        <f t="shared" si="20"/>
        <v>393020.01115639426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5"/>
        <v/>
      </c>
      <c r="C133" s="472">
        <f>IF(D93="","-",+C132+1)</f>
        <v>2053</v>
      </c>
      <c r="D133" s="346">
        <f>IF(F132+SUM(E$99:E132)=D$92,F132,D$92-SUM(E$99:E132))</f>
        <v>1749796</v>
      </c>
      <c r="E133" s="484">
        <f t="shared" si="16"/>
        <v>193919</v>
      </c>
      <c r="F133" s="485">
        <f t="shared" si="17"/>
        <v>1555877</v>
      </c>
      <c r="G133" s="485">
        <f t="shared" si="18"/>
        <v>1652836.5</v>
      </c>
      <c r="H133" s="613">
        <f t="shared" si="19"/>
        <v>372113.36218069773</v>
      </c>
      <c r="I133" s="614">
        <f t="shared" si="20"/>
        <v>372113.36218069773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5"/>
        <v/>
      </c>
      <c r="C134" s="472">
        <f>IF(D93="","-",+C133+1)</f>
        <v>2054</v>
      </c>
      <c r="D134" s="346">
        <f>IF(F133+SUM(E$99:E133)=D$92,F133,D$92-SUM(E$99:E133))</f>
        <v>1555877</v>
      </c>
      <c r="E134" s="484">
        <f t="shared" si="16"/>
        <v>193919</v>
      </c>
      <c r="F134" s="485">
        <f t="shared" si="17"/>
        <v>1361958</v>
      </c>
      <c r="G134" s="485">
        <f t="shared" si="18"/>
        <v>1458917.5</v>
      </c>
      <c r="H134" s="613">
        <f t="shared" si="19"/>
        <v>351206.71320500132</v>
      </c>
      <c r="I134" s="614">
        <f t="shared" si="20"/>
        <v>351206.71320500132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5"/>
        <v/>
      </c>
      <c r="C135" s="472">
        <f>IF(D93="","-",+C134+1)</f>
        <v>2055</v>
      </c>
      <c r="D135" s="346">
        <f>IF(F134+SUM(E$99:E134)=D$92,F134,D$92-SUM(E$99:E134))</f>
        <v>1361958</v>
      </c>
      <c r="E135" s="484">
        <f t="shared" si="16"/>
        <v>193919</v>
      </c>
      <c r="F135" s="485">
        <f t="shared" si="17"/>
        <v>1168039</v>
      </c>
      <c r="G135" s="485">
        <f t="shared" si="18"/>
        <v>1264998.5</v>
      </c>
      <c r="H135" s="613">
        <f t="shared" si="19"/>
        <v>330300.06422930484</v>
      </c>
      <c r="I135" s="614">
        <f t="shared" si="20"/>
        <v>330300.06422930484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5"/>
        <v/>
      </c>
      <c r="C136" s="472">
        <f>IF(D93="","-",+C135+1)</f>
        <v>2056</v>
      </c>
      <c r="D136" s="346">
        <f>IF(F135+SUM(E$99:E135)=D$92,F135,D$92-SUM(E$99:E135))</f>
        <v>1168039</v>
      </c>
      <c r="E136" s="484">
        <f t="shared" si="16"/>
        <v>193919</v>
      </c>
      <c r="F136" s="485">
        <f t="shared" si="17"/>
        <v>974120</v>
      </c>
      <c r="G136" s="485">
        <f t="shared" si="18"/>
        <v>1071079.5</v>
      </c>
      <c r="H136" s="613">
        <f t="shared" si="19"/>
        <v>309393.41525360837</v>
      </c>
      <c r="I136" s="614">
        <f t="shared" si="20"/>
        <v>309393.41525360837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5"/>
        <v/>
      </c>
      <c r="C137" s="472">
        <f>IF(D93="","-",+C136+1)</f>
        <v>2057</v>
      </c>
      <c r="D137" s="346">
        <f>IF(F136+SUM(E$99:E136)=D$92,F136,D$92-SUM(E$99:E136))</f>
        <v>974120</v>
      </c>
      <c r="E137" s="484">
        <f t="shared" si="16"/>
        <v>193919</v>
      </c>
      <c r="F137" s="485">
        <f t="shared" si="17"/>
        <v>780201</v>
      </c>
      <c r="G137" s="485">
        <f t="shared" si="18"/>
        <v>877160.5</v>
      </c>
      <c r="H137" s="613">
        <f t="shared" si="19"/>
        <v>288486.7662779119</v>
      </c>
      <c r="I137" s="614">
        <f t="shared" si="20"/>
        <v>288486.7662779119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5"/>
        <v/>
      </c>
      <c r="C138" s="472">
        <f>IF(D93="","-",+C137+1)</f>
        <v>2058</v>
      </c>
      <c r="D138" s="346">
        <f>IF(F137+SUM(E$99:E137)=D$92,F137,D$92-SUM(E$99:E137))</f>
        <v>780201</v>
      </c>
      <c r="E138" s="484">
        <f t="shared" si="16"/>
        <v>193919</v>
      </c>
      <c r="F138" s="485">
        <f t="shared" si="17"/>
        <v>586282</v>
      </c>
      <c r="G138" s="485">
        <f t="shared" si="18"/>
        <v>683241.5</v>
      </c>
      <c r="H138" s="613">
        <f t="shared" si="19"/>
        <v>267580.11730221543</v>
      </c>
      <c r="I138" s="614">
        <f t="shared" si="20"/>
        <v>267580.11730221543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5"/>
        <v/>
      </c>
      <c r="C139" s="472">
        <f>IF(D93="","-",+C138+1)</f>
        <v>2059</v>
      </c>
      <c r="D139" s="346">
        <f>IF(F138+SUM(E$99:E138)=D$92,F138,D$92-SUM(E$99:E138))</f>
        <v>586282</v>
      </c>
      <c r="E139" s="484">
        <f t="shared" si="16"/>
        <v>193919</v>
      </c>
      <c r="F139" s="485">
        <f t="shared" si="17"/>
        <v>392363</v>
      </c>
      <c r="G139" s="485">
        <f t="shared" si="18"/>
        <v>489322.5</v>
      </c>
      <c r="H139" s="613">
        <f t="shared" si="19"/>
        <v>246673.46832651898</v>
      </c>
      <c r="I139" s="614">
        <f t="shared" si="20"/>
        <v>246673.46832651898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5"/>
        <v/>
      </c>
      <c r="C140" s="472">
        <f>IF(D93="","-",+C139+1)</f>
        <v>2060</v>
      </c>
      <c r="D140" s="346">
        <f>IF(F139+SUM(E$99:E139)=D$92,F139,D$92-SUM(E$99:E139))</f>
        <v>392363</v>
      </c>
      <c r="E140" s="484">
        <f t="shared" si="16"/>
        <v>193919</v>
      </c>
      <c r="F140" s="485">
        <f t="shared" si="17"/>
        <v>198444</v>
      </c>
      <c r="G140" s="485">
        <f t="shared" si="18"/>
        <v>295403.5</v>
      </c>
      <c r="H140" s="613">
        <f t="shared" si="19"/>
        <v>225766.81935082251</v>
      </c>
      <c r="I140" s="614">
        <f t="shared" si="20"/>
        <v>225766.81935082251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5"/>
        <v/>
      </c>
      <c r="C141" s="472">
        <f>IF(D93="","-",+C140+1)</f>
        <v>2061</v>
      </c>
      <c r="D141" s="346">
        <f>IF(F140+SUM(E$99:E140)=D$92,F140,D$92-SUM(E$99:E140))</f>
        <v>198444</v>
      </c>
      <c r="E141" s="484">
        <f t="shared" si="16"/>
        <v>193919</v>
      </c>
      <c r="F141" s="485">
        <f t="shared" si="17"/>
        <v>4525</v>
      </c>
      <c r="G141" s="485">
        <f t="shared" si="18"/>
        <v>101484.5</v>
      </c>
      <c r="H141" s="613">
        <f t="shared" si="19"/>
        <v>204860.17037512604</v>
      </c>
      <c r="I141" s="614">
        <f t="shared" si="20"/>
        <v>204860.17037512604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5"/>
        <v/>
      </c>
      <c r="C142" s="472">
        <f>IF(D93="","-",+C141+1)</f>
        <v>2062</v>
      </c>
      <c r="D142" s="346">
        <f>IF(F141+SUM(E$99:E141)=D$92,F141,D$92-SUM(E$99:E141))</f>
        <v>4525</v>
      </c>
      <c r="E142" s="484">
        <f t="shared" si="16"/>
        <v>4525</v>
      </c>
      <c r="F142" s="485">
        <f t="shared" si="17"/>
        <v>0</v>
      </c>
      <c r="G142" s="485">
        <f t="shared" si="18"/>
        <v>2262.5</v>
      </c>
      <c r="H142" s="613">
        <f t="shared" si="19"/>
        <v>4768.9229436389069</v>
      </c>
      <c r="I142" s="614">
        <f t="shared" si="20"/>
        <v>4768.9229436389069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5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613">
        <f t="shared" si="19"/>
        <v>0</v>
      </c>
      <c r="I143" s="614">
        <f t="shared" si="20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5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613">
        <f t="shared" si="19"/>
        <v>0</v>
      </c>
      <c r="I144" s="614">
        <f t="shared" si="20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5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613">
        <f t="shared" si="19"/>
        <v>0</v>
      </c>
      <c r="I145" s="614">
        <f t="shared" si="20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5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613">
        <f t="shared" si="19"/>
        <v>0</v>
      </c>
      <c r="I146" s="614">
        <f t="shared" si="20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5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613">
        <f t="shared" si="19"/>
        <v>0</v>
      </c>
      <c r="I147" s="614">
        <f t="shared" si="20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5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613">
        <f t="shared" si="19"/>
        <v>0</v>
      </c>
      <c r="I148" s="614">
        <f t="shared" si="20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5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613">
        <f t="shared" si="19"/>
        <v>0</v>
      </c>
      <c r="I149" s="614">
        <f t="shared" si="20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5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613">
        <f t="shared" si="19"/>
        <v>0</v>
      </c>
      <c r="I150" s="614">
        <f t="shared" si="20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5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613">
        <f t="shared" si="19"/>
        <v>0</v>
      </c>
      <c r="I151" s="614">
        <f t="shared" si="20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5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613">
        <f t="shared" si="19"/>
        <v>0</v>
      </c>
      <c r="I152" s="614">
        <f t="shared" si="20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5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613">
        <f t="shared" si="19"/>
        <v>0</v>
      </c>
      <c r="I153" s="614">
        <f t="shared" si="20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5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5">
        <f t="shared" si="19"/>
        <v>0</v>
      </c>
      <c r="I154" s="616">
        <f t="shared" si="20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6" t="s">
        <v>77</v>
      </c>
      <c r="D155" s="347"/>
      <c r="E155" s="347">
        <f>SUM(E99:E154)</f>
        <v>8144614</v>
      </c>
      <c r="F155" s="347"/>
      <c r="G155" s="347"/>
      <c r="H155" s="347">
        <f>SUM(H99:H154)</f>
        <v>26994422.839080192</v>
      </c>
      <c r="I155" s="347">
        <f>SUM(I99:I154)</f>
        <v>26994422.839080192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3" priority="1" stopIfTrue="1" operator="equal">
      <formula>$I$10</formula>
    </cfRule>
  </conditionalFormatting>
  <conditionalFormatting sqref="C99:C154">
    <cfRule type="cellIs" dxfId="12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S137"/>
  <sheetViews>
    <sheetView zoomScale="70" zoomScaleNormal="70" zoomScaleSheetLayoutView="100" workbookViewId="0">
      <selection sqref="A1:K1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0.7109375" style="148" customWidth="1"/>
    <col min="4" max="9" width="17.7109375" style="148" customWidth="1"/>
    <col min="10" max="10" width="17.7109375" style="148" bestFit="1" customWidth="1"/>
    <col min="11" max="11" width="2.140625" style="148" customWidth="1"/>
    <col min="12" max="15" width="17.7109375" style="148" customWidth="1"/>
    <col min="16" max="16" width="19.5703125" style="148" customWidth="1"/>
    <col min="17" max="17" width="2.140625" style="148" customWidth="1"/>
    <col min="18" max="18" width="16.42578125" style="148" customWidth="1"/>
    <col min="19" max="19" width="52.42578125" style="148" customWidth="1"/>
    <col min="20" max="16384" width="8.7109375" style="148"/>
  </cols>
  <sheetData>
    <row r="1" spans="1:19" ht="18">
      <c r="A1" s="643" t="str">
        <f>PSO.WS.F.BPU.ATRR.Projected!A1</f>
        <v xml:space="preserve">AEP West SPP Member Companies 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Q1" s="195"/>
      <c r="R1" s="195"/>
    </row>
    <row r="2" spans="1:19" ht="18">
      <c r="A2" s="643" t="str">
        <f>PSO.WS.F.BPU.ATRR.Projected!A2</f>
        <v>2023 Cost of Service Formula Rate Projected on 2022 FF1 Balances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Q2" s="239" t="s">
        <v>125</v>
      </c>
      <c r="R2" s="195"/>
    </row>
    <row r="3" spans="1:19" ht="18">
      <c r="A3" s="646" t="s">
        <v>141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Q3" s="195"/>
      <c r="R3" s="195"/>
    </row>
    <row r="4" spans="1:19" ht="18">
      <c r="A4" s="645" t="str">
        <f>"Based on a Carrying Charge Derived from ""Trued-Up"" "&amp;M16&amp;" Data"</f>
        <v>Based on a Carrying Charge Derived from "Trued-Up" 2020 Data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Q4" s="195"/>
      <c r="R4" s="195"/>
    </row>
    <row r="5" spans="1:19" ht="18">
      <c r="A5" s="651" t="str">
        <f>PSO.WS.F.BPU.ATRR.Projected!A5</f>
        <v>PUBLIC SERVICE COMPANY OF OKLAHOMA</v>
      </c>
      <c r="B5" s="652"/>
      <c r="C5" s="652"/>
      <c r="D5" s="652"/>
      <c r="E5" s="652"/>
      <c r="F5" s="652"/>
      <c r="G5" s="652"/>
      <c r="H5" s="652"/>
      <c r="I5" s="652"/>
      <c r="J5" s="652"/>
      <c r="K5" s="652"/>
      <c r="Q5" s="195"/>
      <c r="R5" s="195"/>
    </row>
    <row r="6" spans="1:19" ht="20.25">
      <c r="A6" s="373"/>
      <c r="C6" s="303"/>
      <c r="D6" s="160"/>
      <c r="I6" s="216"/>
      <c r="K6" s="195"/>
      <c r="Q6" s="195"/>
      <c r="R6" s="195"/>
    </row>
    <row r="7" spans="1:19">
      <c r="D7" s="160"/>
      <c r="I7" s="216"/>
      <c r="K7" s="195"/>
      <c r="Q7" s="195"/>
      <c r="R7" s="195"/>
    </row>
    <row r="8" spans="1:19" ht="38.25" customHeight="1">
      <c r="B8" s="243" t="s">
        <v>0</v>
      </c>
      <c r="C8" s="648" t="str">
        <f>"Calculate Return and Income Taxes with "&amp;F13&amp;" basis point ROE increase for Projects Qualified for Incentive."</f>
        <v>Calculate Return and Income Taxes with 0 basis point ROE increase for Projects Qualified for Incentive.</v>
      </c>
      <c r="D8" s="649"/>
      <c r="E8" s="649"/>
      <c r="F8" s="649"/>
      <c r="G8" s="649"/>
      <c r="H8" s="649"/>
      <c r="I8" s="649"/>
      <c r="K8" s="195"/>
      <c r="Q8" s="195"/>
      <c r="R8" s="195"/>
    </row>
    <row r="9" spans="1:19" ht="15.75" customHeight="1">
      <c r="C9" s="374"/>
      <c r="D9" s="374"/>
      <c r="E9" s="374"/>
      <c r="F9" s="374"/>
      <c r="G9" s="374"/>
      <c r="H9" s="374"/>
      <c r="I9" s="374"/>
      <c r="K9" s="195"/>
      <c r="Q9" s="195"/>
      <c r="R9" s="195"/>
    </row>
    <row r="10" spans="1:19" ht="15.75">
      <c r="C10" s="244" t="str">
        <f>"A.   Determine 'R' with hypothetical "&amp;F13&amp;" basis point increase in ROE for Identified Projects"</f>
        <v>A.   Determine 'R' with hypothetical 0 basis point increase in ROE for Identified Projects</v>
      </c>
      <c r="D10" s="160"/>
      <c r="I10" s="216"/>
      <c r="K10" s="195"/>
      <c r="Q10" s="195"/>
      <c r="R10" s="195"/>
    </row>
    <row r="11" spans="1:19">
      <c r="D11" s="160"/>
      <c r="I11" s="216"/>
      <c r="K11" s="195"/>
      <c r="Q11" s="195"/>
      <c r="R11" s="195"/>
    </row>
    <row r="12" spans="1:19">
      <c r="C12" s="247" t="str">
        <f>S105</f>
        <v xml:space="preserve">   ROE w/o incentives  (True-Up TCOS, ln 135)</v>
      </c>
      <c r="D12" s="160"/>
      <c r="E12" s="248"/>
      <c r="F12" s="249">
        <f>+R105</f>
        <v>0.105</v>
      </c>
      <c r="G12" s="249"/>
      <c r="H12" s="250"/>
      <c r="I12" s="251"/>
      <c r="J12" s="252"/>
      <c r="K12" s="253"/>
      <c r="L12" s="252"/>
      <c r="M12" s="252"/>
      <c r="N12" s="252"/>
      <c r="O12" s="252"/>
      <c r="P12" s="252"/>
      <c r="Q12" s="253"/>
      <c r="R12" s="242"/>
      <c r="S12" s="232"/>
    </row>
    <row r="13" spans="1:19" ht="13.5" thickBot="1">
      <c r="C13" s="247" t="s">
        <v>1</v>
      </c>
      <c r="D13" s="160"/>
      <c r="E13" s="248"/>
      <c r="F13" s="375">
        <f>R106</f>
        <v>0</v>
      </c>
      <c r="G13" s="376" t="s">
        <v>152</v>
      </c>
      <c r="L13" s="252"/>
      <c r="M13" s="252"/>
      <c r="N13" s="252"/>
      <c r="O13" s="252"/>
      <c r="P13" s="252"/>
      <c r="Q13" s="253"/>
      <c r="R13" s="242"/>
      <c r="S13" s="232"/>
    </row>
    <row r="14" spans="1:19">
      <c r="C14" s="247" t="str">
        <f>"   ROE with additional "&amp;F13&amp;" basis point incentive"</f>
        <v xml:space="preserve">   ROE with additional 0 basis point incentive</v>
      </c>
      <c r="D14" s="248"/>
      <c r="E14" s="248"/>
      <c r="F14" s="255">
        <f>IF((F12+(F13/10000)&gt;0.1245),"ERROR",F12+(F13/10000))</f>
        <v>0.105</v>
      </c>
      <c r="G14" s="256" t="s">
        <v>2</v>
      </c>
      <c r="I14" s="252"/>
      <c r="J14" s="252"/>
      <c r="K14" s="253"/>
      <c r="L14" s="377" t="s">
        <v>89</v>
      </c>
      <c r="M14" s="378"/>
      <c r="N14" s="378"/>
      <c r="O14" s="378"/>
      <c r="P14" s="379"/>
      <c r="Q14" s="253"/>
      <c r="R14" s="242"/>
      <c r="S14" s="232"/>
    </row>
    <row r="15" spans="1:19">
      <c r="C15" s="247" t="s">
        <v>235</v>
      </c>
      <c r="D15" s="160"/>
      <c r="E15" s="248"/>
      <c r="F15" s="255"/>
      <c r="G15" s="255"/>
      <c r="H15" s="248"/>
      <c r="I15" s="252"/>
      <c r="J15" s="252"/>
      <c r="K15" s="253"/>
      <c r="L15" s="265"/>
      <c r="M15" s="253"/>
      <c r="N15" s="253" t="s">
        <v>8</v>
      </c>
      <c r="O15" s="253" t="s">
        <v>9</v>
      </c>
      <c r="P15" s="267" t="s">
        <v>10</v>
      </c>
      <c r="Q15" s="253"/>
      <c r="R15" s="242"/>
      <c r="S15" s="232"/>
    </row>
    <row r="16" spans="1:19">
      <c r="C16" s="253"/>
      <c r="D16" s="257" t="s">
        <v>4</v>
      </c>
      <c r="E16" s="257" t="s">
        <v>5</v>
      </c>
      <c r="F16" s="258" t="s">
        <v>6</v>
      </c>
      <c r="G16" s="258"/>
      <c r="H16" s="248"/>
      <c r="I16" s="252"/>
      <c r="J16" s="252"/>
      <c r="K16" s="253"/>
      <c r="L16" s="265" t="s">
        <v>90</v>
      </c>
      <c r="M16" s="380">
        <f>+R104</f>
        <v>2020</v>
      </c>
      <c r="N16" s="195"/>
      <c r="O16" s="195"/>
      <c r="P16" s="272"/>
      <c r="Q16" s="253"/>
      <c r="R16" s="242"/>
      <c r="S16" s="232"/>
    </row>
    <row r="17" spans="3:19">
      <c r="C17" s="259" t="s">
        <v>7</v>
      </c>
      <c r="D17" s="260">
        <f>R107</f>
        <v>0.46528590554198529</v>
      </c>
      <c r="E17" s="261">
        <f>R108</f>
        <v>3.6100419315000257E-2</v>
      </c>
      <c r="F17" s="381">
        <f>E17*D17</f>
        <v>1.6797016291425271E-2</v>
      </c>
      <c r="G17" s="381"/>
      <c r="H17" s="248"/>
      <c r="I17" s="252"/>
      <c r="J17" s="263"/>
      <c r="K17" s="264"/>
      <c r="L17" s="271"/>
      <c r="M17" s="382" t="s">
        <v>219</v>
      </c>
      <c r="N17" s="383">
        <f>SUM('P.001:P.xyz - blank'!M87)</f>
        <v>7973838.7799099376</v>
      </c>
      <c r="O17" s="383">
        <f>SUM('P.001:P.xyz - blank'!N87)</f>
        <v>7973838.7799099376</v>
      </c>
      <c r="P17" s="384">
        <f>+O17-N17</f>
        <v>0</v>
      </c>
      <c r="Q17" s="264"/>
      <c r="R17" s="242"/>
      <c r="S17" s="232"/>
    </row>
    <row r="18" spans="3:19" ht="13.5" thickBot="1">
      <c r="C18" s="259" t="s">
        <v>11</v>
      </c>
      <c r="D18" s="260">
        <f>R109</f>
        <v>0</v>
      </c>
      <c r="E18" s="261">
        <f>R110</f>
        <v>0</v>
      </c>
      <c r="F18" s="381">
        <f>E18*D18</f>
        <v>0</v>
      </c>
      <c r="G18" s="381"/>
      <c r="H18" s="268"/>
      <c r="I18" s="268"/>
      <c r="J18" s="269"/>
      <c r="K18" s="270"/>
      <c r="L18" s="271"/>
      <c r="M18" s="385" t="s">
        <v>218</v>
      </c>
      <c r="N18" s="386">
        <f>SUM('P.001:P.xyz - blank'!M88)</f>
        <v>8608680.5050717462</v>
      </c>
      <c r="O18" s="386">
        <f>SUM('P.001:P.xyz - blank'!N88)</f>
        <v>8608680.5050717462</v>
      </c>
      <c r="P18" s="278">
        <f>+O18-N18</f>
        <v>0</v>
      </c>
      <c r="Q18" s="270"/>
      <c r="R18" s="242"/>
      <c r="S18" s="232"/>
    </row>
    <row r="19" spans="3:19">
      <c r="C19" s="273" t="s">
        <v>12</v>
      </c>
      <c r="D19" s="260">
        <f>R111</f>
        <v>0.53471409445801488</v>
      </c>
      <c r="E19" s="261">
        <f>+F14</f>
        <v>0.105</v>
      </c>
      <c r="F19" s="387">
        <f>E19*D19</f>
        <v>5.6144979918091559E-2</v>
      </c>
      <c r="G19" s="387"/>
      <c r="H19" s="268"/>
      <c r="I19" s="268"/>
      <c r="J19" s="255"/>
      <c r="K19" s="270"/>
      <c r="L19" s="271"/>
      <c r="M19" s="388" t="str">
        <f>"True-up Adjustment For "&amp;M16&amp;""</f>
        <v>True-up Adjustment For 2020</v>
      </c>
      <c r="N19" s="389">
        <f>+N18-N17</f>
        <v>634841.72516180854</v>
      </c>
      <c r="O19" s="389">
        <f>+O18-O17</f>
        <v>634841.72516180854</v>
      </c>
      <c r="P19" s="390">
        <f>+P18-P17</f>
        <v>0</v>
      </c>
      <c r="Q19" s="270"/>
      <c r="R19" s="242"/>
      <c r="S19" s="232"/>
    </row>
    <row r="20" spans="3:19">
      <c r="C20" s="247"/>
      <c r="D20" s="248"/>
      <c r="E20" s="279" t="s">
        <v>14</v>
      </c>
      <c r="F20" s="381">
        <f>SUM(F17:F19)</f>
        <v>7.2941996209516829E-2</v>
      </c>
      <c r="G20" s="381"/>
      <c r="H20" s="391"/>
      <c r="I20" s="268"/>
      <c r="J20" s="269"/>
      <c r="K20" s="270"/>
      <c r="L20" s="271"/>
      <c r="M20" s="195"/>
      <c r="N20" s="280" t="str">
        <f>IF(ROUND(N19,0)=ROUND(SUM('P.001:P.xyz - blank'!M89),0),"","ERROR")</f>
        <v/>
      </c>
      <c r="O20" s="280" t="str">
        <f>IF(ROUND(O19,0)=ROUND(SUM('P.001:P.xyz - blank'!N89),0),"","ERROR")</f>
        <v/>
      </c>
      <c r="P20" s="280" t="str">
        <f>IF(P19=SUM('P.001:P.xyz - blank'!O89),"","ERROR")</f>
        <v/>
      </c>
      <c r="Q20" s="270"/>
      <c r="R20" s="242"/>
      <c r="S20" s="232"/>
    </row>
    <row r="21" spans="3:19" ht="13.5" thickBot="1">
      <c r="D21" s="281"/>
      <c r="E21" s="281"/>
      <c r="F21" s="268"/>
      <c r="G21" s="268"/>
      <c r="H21" s="268"/>
      <c r="I21" s="268"/>
      <c r="J21" s="268"/>
      <c r="K21" s="282"/>
      <c r="L21" s="392"/>
      <c r="M21" s="393"/>
      <c r="N21" s="394"/>
      <c r="O21" s="394"/>
      <c r="P21" s="278"/>
      <c r="Q21" s="282"/>
      <c r="R21" s="242"/>
      <c r="S21" s="232"/>
    </row>
    <row r="22" spans="3:19" ht="15.75">
      <c r="C22" s="244" t="str">
        <f>"B.   Determine Return using 'R' with hypothetical "&amp;F13&amp;" basis point ROE increase for Identified Projects."</f>
        <v>B.   Determine Return using 'R' with hypothetical 0 basis point ROE increase for Identified Projects.</v>
      </c>
      <c r="D22" s="281"/>
      <c r="E22" s="281"/>
      <c r="F22" s="283"/>
      <c r="G22" s="283"/>
      <c r="H22" s="268"/>
      <c r="I22" s="248"/>
      <c r="J22" s="268"/>
      <c r="K22" s="282"/>
      <c r="L22" s="268"/>
      <c r="M22" s="268"/>
      <c r="N22" s="268"/>
      <c r="O22" s="268"/>
      <c r="P22" s="268"/>
      <c r="Q22" s="282"/>
      <c r="R22" s="242"/>
      <c r="S22" s="232"/>
    </row>
    <row r="23" spans="3:19">
      <c r="C23" s="253"/>
      <c r="D23" s="281"/>
      <c r="E23" s="281"/>
      <c r="F23" s="282"/>
      <c r="G23" s="282"/>
      <c r="H23" s="282"/>
      <c r="I23" s="282"/>
      <c r="J23" s="282"/>
      <c r="K23" s="282"/>
      <c r="L23" s="178" t="s">
        <v>15</v>
      </c>
      <c r="M23" s="282"/>
      <c r="N23" s="282"/>
      <c r="O23" s="282"/>
      <c r="P23" s="282"/>
      <c r="Q23" s="282"/>
      <c r="R23" s="242"/>
      <c r="S23" s="232"/>
    </row>
    <row r="24" spans="3:19">
      <c r="C24" s="247" t="str">
        <f>S112</f>
        <v xml:space="preserve">   Rate Base  (True-Up TCOS, ln 63)</v>
      </c>
      <c r="D24" s="248"/>
      <c r="E24" s="285">
        <f>R112</f>
        <v>604335882.55089986</v>
      </c>
      <c r="F24" s="286"/>
      <c r="G24" s="286"/>
      <c r="H24" s="282"/>
      <c r="I24" s="282"/>
      <c r="J24" s="282"/>
      <c r="K24" s="282"/>
      <c r="L24" s="148" t="s">
        <v>16</v>
      </c>
      <c r="M24" s="282"/>
      <c r="N24" s="282"/>
      <c r="O24" s="282"/>
      <c r="P24" s="286"/>
      <c r="Q24" s="282"/>
      <c r="R24" s="242"/>
      <c r="S24" s="232"/>
    </row>
    <row r="25" spans="3:19">
      <c r="C25" s="253" t="s">
        <v>17</v>
      </c>
      <c r="D25" s="250"/>
      <c r="E25" s="287">
        <f>F20</f>
        <v>7.2941996209516829E-2</v>
      </c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42"/>
      <c r="S25" s="232"/>
    </row>
    <row r="26" spans="3:19">
      <c r="C26" s="288" t="s">
        <v>18</v>
      </c>
      <c r="D26" s="288"/>
      <c r="E26" s="269">
        <f>E24*E25</f>
        <v>44081465.654302746</v>
      </c>
      <c r="F26" s="282"/>
      <c r="G26" s="282"/>
      <c r="H26" s="282"/>
      <c r="I26" s="282"/>
      <c r="J26" s="270"/>
      <c r="K26" s="270"/>
      <c r="L26" s="270"/>
      <c r="M26" s="270"/>
      <c r="N26" s="270"/>
      <c r="O26" s="270"/>
      <c r="P26" s="282"/>
      <c r="Q26" s="270"/>
      <c r="R26" s="242"/>
      <c r="S26" s="232"/>
    </row>
    <row r="27" spans="3:19">
      <c r="C27" s="289"/>
      <c r="D27" s="252"/>
      <c r="E27" s="252"/>
      <c r="F27" s="282"/>
      <c r="G27" s="282"/>
      <c r="H27" s="282"/>
      <c r="I27" s="282"/>
      <c r="J27" s="270"/>
      <c r="K27" s="270"/>
      <c r="L27" s="270"/>
      <c r="M27" s="270"/>
      <c r="N27" s="270"/>
      <c r="O27" s="270"/>
      <c r="P27" s="282"/>
      <c r="Q27" s="270"/>
      <c r="R27" s="242"/>
      <c r="S27" s="232"/>
    </row>
    <row r="28" spans="3:19" ht="15.75">
      <c r="C28" s="244" t="str">
        <f>"C.   Determine Income Taxes using Return with hypothetical "&amp;F13&amp;" basis point ROE increase for Identified Projects."</f>
        <v>C.   Determine Income Taxes using Return with hypothetical 0 basis point ROE increase for Identified Projects.</v>
      </c>
      <c r="D28" s="290"/>
      <c r="E28" s="290"/>
      <c r="F28" s="291"/>
      <c r="G28" s="291"/>
      <c r="H28" s="291"/>
      <c r="I28" s="291"/>
      <c r="J28" s="292"/>
      <c r="K28" s="292"/>
      <c r="L28" s="292"/>
      <c r="M28" s="292"/>
      <c r="N28" s="292"/>
      <c r="O28" s="292"/>
      <c r="P28" s="291"/>
      <c r="Q28" s="292"/>
      <c r="R28" s="242"/>
      <c r="S28" s="232"/>
    </row>
    <row r="29" spans="3:19">
      <c r="C29" s="247"/>
      <c r="D29" s="252"/>
      <c r="E29" s="252"/>
      <c r="F29" s="282"/>
      <c r="G29" s="282"/>
      <c r="H29" s="282"/>
      <c r="I29" s="282"/>
      <c r="J29" s="270"/>
      <c r="K29" s="270"/>
      <c r="L29" s="270"/>
      <c r="M29" s="270"/>
      <c r="N29" s="270">
        <f>+N17-6729904</f>
        <v>1243934.7799099376</v>
      </c>
      <c r="O29" s="270"/>
      <c r="P29" s="282"/>
      <c r="Q29" s="270"/>
      <c r="R29" s="242"/>
      <c r="S29" s="232"/>
    </row>
    <row r="30" spans="3:19">
      <c r="C30" s="253" t="s">
        <v>19</v>
      </c>
      <c r="D30" s="279"/>
      <c r="E30" s="293">
        <f>E26</f>
        <v>44081465.654302746</v>
      </c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42"/>
      <c r="S30" s="232"/>
    </row>
    <row r="31" spans="3:19">
      <c r="C31" s="247" t="str">
        <f>S113</f>
        <v xml:space="preserve">   Tax Rate  (True-Up TCOS, ln 105)</v>
      </c>
      <c r="D31" s="279"/>
      <c r="E31" s="294">
        <f>R113</f>
        <v>0.24065199999999998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42"/>
      <c r="S31" s="232"/>
    </row>
    <row r="32" spans="3:19">
      <c r="C32" s="253" t="s">
        <v>20</v>
      </c>
      <c r="D32" s="240"/>
      <c r="E32" s="255">
        <f>IF(F17&gt;0,($E31/(1-$E31))*(1-$F17/$F20),0)</f>
        <v>0.24393937582525183</v>
      </c>
      <c r="F32" s="232"/>
      <c r="G32" s="232"/>
      <c r="H32" s="232"/>
      <c r="I32" s="241"/>
      <c r="J32" s="232"/>
      <c r="K32" s="242"/>
      <c r="L32" s="232"/>
      <c r="M32" s="232"/>
      <c r="N32" s="232"/>
      <c r="O32" s="232"/>
      <c r="P32" s="232"/>
      <c r="Q32" s="242"/>
      <c r="R32" s="242"/>
      <c r="S32" s="338"/>
    </row>
    <row r="33" spans="2:19">
      <c r="C33" s="289" t="s">
        <v>21</v>
      </c>
      <c r="D33" s="240"/>
      <c r="E33" s="296">
        <f>E30*E32</f>
        <v>10753205.217172887</v>
      </c>
      <c r="F33" s="232"/>
      <c r="G33" s="232"/>
      <c r="H33" s="232"/>
      <c r="I33" s="241"/>
      <c r="J33" s="232"/>
      <c r="K33" s="242"/>
      <c r="L33" s="232"/>
      <c r="M33" s="232"/>
      <c r="N33" s="232"/>
      <c r="O33" s="232"/>
      <c r="P33" s="232"/>
      <c r="Q33" s="242"/>
      <c r="R33" s="242"/>
      <c r="S33" s="232"/>
    </row>
    <row r="34" spans="2:19" ht="15">
      <c r="C34" s="247" t="str">
        <f>+S114</f>
        <v xml:space="preserve">   ITC Adjustment  (True-Up TCOS, ln 102)</v>
      </c>
      <c r="D34" s="297"/>
      <c r="E34" s="298">
        <f>R114</f>
        <v>-309556.88283684372</v>
      </c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9"/>
      <c r="Q34" s="297"/>
      <c r="R34" s="242"/>
      <c r="S34" s="232"/>
    </row>
    <row r="35" spans="2:19" ht="15">
      <c r="C35" s="305" t="str">
        <f>+S115</f>
        <v xml:space="preserve">   Excess DFIT Adjustment  (TCOS, ln 109)</v>
      </c>
      <c r="D35" s="297"/>
      <c r="E35" s="298">
        <f>R115</f>
        <v>-5050742.2565344656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9"/>
      <c r="Q35" s="297"/>
      <c r="R35" s="242"/>
      <c r="S35" s="232"/>
    </row>
    <row r="36" spans="2:19" ht="15">
      <c r="C36" s="305" t="str">
        <f>+S116</f>
        <v xml:space="preserve">   Tax Effect of Permanent and Flow Through Differences (TCOS, ln 110)</v>
      </c>
      <c r="D36" s="297"/>
      <c r="E36" s="298">
        <f>R116</f>
        <v>91995.52734714518</v>
      </c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9"/>
      <c r="Q36" s="297"/>
      <c r="R36" s="242"/>
      <c r="S36" s="232"/>
    </row>
    <row r="37" spans="2:19" ht="15">
      <c r="C37" s="289" t="s">
        <v>22</v>
      </c>
      <c r="D37" s="297"/>
      <c r="E37" s="298">
        <f>E33+E34+E35+E36</f>
        <v>5484901.6051487243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300"/>
      <c r="Q37" s="297"/>
      <c r="R37" s="242"/>
      <c r="S37" s="232"/>
    </row>
    <row r="38" spans="2:19" ht="12.75" customHeight="1">
      <c r="C38" s="301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300"/>
      <c r="Q38" s="297"/>
      <c r="R38" s="242"/>
      <c r="S38" s="232"/>
    </row>
    <row r="39" spans="2:19" ht="18.75">
      <c r="B39" s="302" t="s">
        <v>23</v>
      </c>
      <c r="C39" s="303" t="str">
        <f>"Calculate Net Plant Carrying Charge Rate (Fixed Charge Rate or FCR) with hypothetical "&amp;F13&amp;" basis point"</f>
        <v>Calculate Net Plant Carrying Charge Rate (Fixed Charge Rate or FCR) with hypothetical 0 basis point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300"/>
      <c r="Q39" s="297"/>
      <c r="R39" s="242"/>
      <c r="S39" s="232"/>
    </row>
    <row r="40" spans="2:19" ht="18.75" customHeight="1">
      <c r="B40" s="302"/>
      <c r="C40" s="303" t="str">
        <f>"ROE increase."</f>
        <v>ROE increase.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300"/>
      <c r="Q40" s="297"/>
      <c r="R40" s="242"/>
      <c r="S40" s="232"/>
    </row>
    <row r="41" spans="2:19" ht="12.75" customHeight="1">
      <c r="C41" s="301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300"/>
      <c r="Q41" s="297"/>
      <c r="R41" s="242"/>
      <c r="S41" s="232"/>
    </row>
    <row r="42" spans="2:19" ht="15.75">
      <c r="C42" s="244" t="s">
        <v>24</v>
      </c>
      <c r="D42" s="297"/>
      <c r="E42" s="297"/>
      <c r="F42" s="304"/>
      <c r="G42" s="304"/>
      <c r="H42" s="297"/>
      <c r="I42" s="297"/>
      <c r="J42" s="297"/>
      <c r="K42" s="297"/>
      <c r="L42" s="297"/>
      <c r="M42" s="297"/>
      <c r="N42" s="297"/>
      <c r="O42" s="297"/>
      <c r="P42" s="300"/>
      <c r="Q42" s="297"/>
      <c r="R42" s="242"/>
      <c r="S42" s="232"/>
    </row>
    <row r="43" spans="2:19">
      <c r="B43" s="232"/>
      <c r="C43" s="305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298"/>
      <c r="Q43" s="306"/>
      <c r="R43" s="242"/>
      <c r="S43" s="232"/>
    </row>
    <row r="44" spans="2:19" ht="12.75" customHeight="1">
      <c r="B44" s="232"/>
      <c r="C44" s="247" t="str">
        <f>S117</f>
        <v xml:space="preserve">   Net Revenue Requirement  (True-Up TCOS, ln 109)</v>
      </c>
      <c r="D44" s="306"/>
      <c r="E44" s="306"/>
      <c r="F44" s="298">
        <f>R117</f>
        <v>103217664.45847365</v>
      </c>
      <c r="G44" s="298"/>
      <c r="H44" s="306"/>
      <c r="I44" s="306"/>
      <c r="J44" s="306"/>
      <c r="K44" s="306"/>
      <c r="L44" s="306"/>
      <c r="M44" s="306"/>
      <c r="N44" s="306"/>
      <c r="O44" s="306"/>
      <c r="P44" s="298"/>
      <c r="Q44" s="306"/>
      <c r="R44" s="242"/>
      <c r="S44" s="232"/>
    </row>
    <row r="45" spans="2:19">
      <c r="B45" s="232"/>
      <c r="C45" s="247" t="str">
        <f>S118</f>
        <v xml:space="preserve">   Return  (True-Up TCOS, ln 104)</v>
      </c>
      <c r="D45" s="306"/>
      <c r="E45" s="306"/>
      <c r="F45" s="298">
        <f>R118</f>
        <v>44081465.654302746</v>
      </c>
      <c r="G45" s="307"/>
      <c r="H45" s="308"/>
      <c r="I45" s="308"/>
      <c r="J45" s="308"/>
      <c r="K45" s="308"/>
      <c r="L45" s="308"/>
      <c r="M45" s="308"/>
      <c r="N45" s="308"/>
      <c r="O45" s="308"/>
      <c r="P45" s="298"/>
      <c r="Q45" s="308"/>
      <c r="R45" s="242"/>
      <c r="S45" s="232"/>
    </row>
    <row r="46" spans="2:19">
      <c r="B46" s="232"/>
      <c r="C46" s="247" t="str">
        <f>S119</f>
        <v xml:space="preserve">   Income Taxes  (True-Up TCOS, ln 103)</v>
      </c>
      <c r="D46" s="306"/>
      <c r="E46" s="306"/>
      <c r="F46" s="298">
        <f>R119</f>
        <v>5484901.6051487243</v>
      </c>
      <c r="G46" s="298"/>
      <c r="H46" s="306"/>
      <c r="I46" s="306"/>
      <c r="J46" s="309"/>
      <c r="K46" s="309"/>
      <c r="L46" s="309"/>
      <c r="M46" s="309"/>
      <c r="N46" s="309"/>
      <c r="O46" s="309"/>
      <c r="P46" s="306"/>
      <c r="Q46" s="309"/>
      <c r="R46" s="242"/>
      <c r="S46" s="232"/>
    </row>
    <row r="47" spans="2:19">
      <c r="B47" s="232"/>
      <c r="C47" s="247" t="str">
        <f>S120</f>
        <v xml:space="preserve">  Gross Margin Taxes  (True-Up TCOS, ln 108)</v>
      </c>
      <c r="D47" s="306"/>
      <c r="E47" s="306"/>
      <c r="F47" s="310">
        <f>R120</f>
        <v>0</v>
      </c>
      <c r="G47" s="298"/>
      <c r="H47" s="306"/>
      <c r="I47" s="306"/>
      <c r="J47" s="309"/>
      <c r="K47" s="309"/>
      <c r="L47" s="309"/>
      <c r="M47" s="309"/>
      <c r="N47" s="309"/>
      <c r="O47" s="309"/>
      <c r="P47" s="306"/>
      <c r="Q47" s="309"/>
      <c r="R47" s="242"/>
      <c r="S47" s="232"/>
    </row>
    <row r="48" spans="2:19">
      <c r="B48" s="232"/>
      <c r="C48" s="311" t="s">
        <v>25</v>
      </c>
      <c r="D48" s="306"/>
      <c r="E48" s="306"/>
      <c r="F48" s="307">
        <f>F44-F45-F46-F47</f>
        <v>53651297.199022181</v>
      </c>
      <c r="G48" s="307"/>
      <c r="H48" s="312"/>
      <c r="I48" s="306"/>
      <c r="J48" s="312"/>
      <c r="K48" s="312"/>
      <c r="L48" s="312"/>
      <c r="M48" s="312"/>
      <c r="N48" s="312"/>
      <c r="O48" s="312"/>
      <c r="P48" s="312"/>
      <c r="Q48" s="312"/>
      <c r="R48" s="242"/>
      <c r="S48" s="232"/>
    </row>
    <row r="49" spans="2:19">
      <c r="B49" s="232"/>
      <c r="C49" s="305"/>
      <c r="D49" s="306"/>
      <c r="E49" s="306"/>
      <c r="F49" s="298"/>
      <c r="G49" s="298"/>
      <c r="H49" s="313"/>
      <c r="I49" s="314"/>
      <c r="J49" s="314"/>
      <c r="K49" s="314"/>
      <c r="L49" s="314"/>
      <c r="M49" s="314"/>
      <c r="N49" s="314"/>
      <c r="O49" s="314"/>
      <c r="P49" s="314"/>
      <c r="Q49" s="314"/>
      <c r="R49" s="242"/>
      <c r="S49" s="232"/>
    </row>
    <row r="50" spans="2:19" ht="15.75">
      <c r="B50" s="232"/>
      <c r="C50" s="244" t="str">
        <f>"B.   Determine Net Revenue Requirement with hypothetical "&amp;F13&amp;" basis point increase in ROE."</f>
        <v>B.   Determine Net Revenue Requirement with hypothetical 0 basis point increase in ROE.</v>
      </c>
      <c r="D50" s="315"/>
      <c r="E50" s="315"/>
      <c r="F50" s="298"/>
      <c r="G50" s="298"/>
      <c r="H50" s="313"/>
      <c r="I50" s="314"/>
      <c r="J50" s="314"/>
      <c r="K50" s="314"/>
      <c r="L50" s="314"/>
      <c r="M50" s="314"/>
      <c r="N50" s="314"/>
      <c r="O50" s="314"/>
      <c r="P50" s="314"/>
      <c r="Q50" s="314"/>
      <c r="R50" s="242"/>
      <c r="S50" s="232"/>
    </row>
    <row r="51" spans="2:19">
      <c r="B51" s="232"/>
      <c r="C51" s="305"/>
      <c r="D51" s="315"/>
      <c r="E51" s="315"/>
      <c r="F51" s="298"/>
      <c r="G51" s="298"/>
      <c r="H51" s="313"/>
      <c r="I51" s="314"/>
      <c r="J51" s="314"/>
      <c r="K51" s="314"/>
      <c r="L51" s="314"/>
      <c r="M51" s="314"/>
      <c r="N51" s="314"/>
      <c r="O51" s="314"/>
      <c r="P51" s="314"/>
      <c r="Q51" s="314"/>
      <c r="R51" s="242"/>
      <c r="S51" s="232"/>
    </row>
    <row r="52" spans="2:19">
      <c r="B52" s="232"/>
      <c r="C52" s="305" t="str">
        <f>C48</f>
        <v xml:space="preserve">   Net Revenue Requirement, Less Return and Taxes</v>
      </c>
      <c r="D52" s="315"/>
      <c r="E52" s="315"/>
      <c r="F52" s="298">
        <f>F48</f>
        <v>53651297.199022181</v>
      </c>
      <c r="G52" s="298"/>
      <c r="H52" s="306"/>
      <c r="I52" s="306"/>
      <c r="J52" s="306"/>
      <c r="K52" s="306"/>
      <c r="L52" s="306"/>
      <c r="M52" s="306"/>
      <c r="N52" s="306"/>
      <c r="O52" s="306"/>
      <c r="P52" s="318"/>
      <c r="Q52" s="306"/>
      <c r="R52" s="242"/>
      <c r="S52" s="232"/>
    </row>
    <row r="53" spans="2:19">
      <c r="B53" s="232"/>
      <c r="C53" s="253" t="s">
        <v>103</v>
      </c>
      <c r="D53" s="320"/>
      <c r="E53" s="311"/>
      <c r="F53" s="321">
        <f>E26</f>
        <v>44081465.654302746</v>
      </c>
      <c r="G53" s="321"/>
      <c r="H53" s="311"/>
      <c r="I53" s="322"/>
      <c r="J53" s="311"/>
      <c r="K53" s="311"/>
      <c r="L53" s="311"/>
      <c r="M53" s="311"/>
      <c r="N53" s="311"/>
      <c r="O53" s="311"/>
      <c r="P53" s="311"/>
      <c r="Q53" s="311"/>
      <c r="R53" s="242"/>
      <c r="S53" s="232"/>
    </row>
    <row r="54" spans="2:19" ht="12.75" customHeight="1">
      <c r="B54" s="232"/>
      <c r="C54" s="247" t="s">
        <v>26</v>
      </c>
      <c r="D54" s="306"/>
      <c r="E54" s="306"/>
      <c r="F54" s="395">
        <f>E37</f>
        <v>5484901.6051487243</v>
      </c>
      <c r="G54" s="323"/>
      <c r="H54" s="232"/>
      <c r="I54" s="241"/>
      <c r="J54" s="232"/>
      <c r="K54" s="242"/>
      <c r="L54" s="232"/>
      <c r="M54" s="232"/>
      <c r="N54" s="232"/>
      <c r="O54" s="232"/>
      <c r="P54" s="232"/>
      <c r="Q54" s="242"/>
      <c r="R54" s="242"/>
      <c r="S54" s="232"/>
    </row>
    <row r="55" spans="2:19">
      <c r="B55" s="232"/>
      <c r="C55" s="311" t="str">
        <f>"   Net Revenue Requirement, with "&amp;F13&amp;" Basis Point ROE increase"</f>
        <v xml:space="preserve">   Net Revenue Requirement, with 0 Basis Point ROE increase</v>
      </c>
      <c r="D55" s="240"/>
      <c r="E55" s="232"/>
      <c r="F55" s="296">
        <f>SUM(F52:F54)</f>
        <v>103217664.45847364</v>
      </c>
      <c r="G55" s="296"/>
      <c r="H55" s="232"/>
      <c r="I55" s="241"/>
      <c r="J55" s="232"/>
      <c r="K55" s="242"/>
      <c r="L55" s="232"/>
      <c r="M55" s="232"/>
      <c r="N55" s="232"/>
      <c r="O55" s="232"/>
      <c r="P55" s="232"/>
      <c r="Q55" s="242"/>
      <c r="R55" s="242"/>
      <c r="S55" s="232"/>
    </row>
    <row r="56" spans="2:19">
      <c r="B56" s="232"/>
      <c r="C56" s="324" t="str">
        <f>"   Gross Margin Tax with "&amp;F13&amp;" Basis Point ROE Increase (II C. below)"</f>
        <v xml:space="preserve">   Gross Margin Tax with 0 Basis Point ROE Increase (II C. below)</v>
      </c>
      <c r="D56" s="325"/>
      <c r="E56" s="325"/>
      <c r="F56" s="326">
        <f>+F71</f>
        <v>0</v>
      </c>
      <c r="G56" s="321"/>
      <c r="H56" s="232"/>
      <c r="I56" s="241"/>
      <c r="J56" s="232"/>
      <c r="K56" s="242"/>
      <c r="L56" s="232"/>
      <c r="M56" s="232"/>
      <c r="N56" s="232"/>
      <c r="O56" s="232"/>
      <c r="P56" s="232"/>
      <c r="Q56" s="242"/>
      <c r="R56" s="242"/>
      <c r="S56" s="232"/>
    </row>
    <row r="57" spans="2:19">
      <c r="B57" s="232"/>
      <c r="C57" s="311" t="s">
        <v>27</v>
      </c>
      <c r="D57" s="240"/>
      <c r="E57" s="232"/>
      <c r="F57" s="327">
        <f>+F55+F56</f>
        <v>103217664.45847364</v>
      </c>
      <c r="G57" s="327"/>
      <c r="H57" s="232"/>
      <c r="I57" s="241"/>
      <c r="J57" s="232"/>
      <c r="K57" s="242"/>
      <c r="L57" s="232"/>
      <c r="M57" s="232"/>
      <c r="N57" s="232"/>
      <c r="O57" s="232"/>
      <c r="P57" s="232"/>
      <c r="Q57" s="242"/>
      <c r="R57" s="242"/>
      <c r="S57" s="232"/>
    </row>
    <row r="58" spans="2:19">
      <c r="B58" s="232"/>
      <c r="C58" s="247" t="str">
        <f>S121</f>
        <v xml:space="preserve">   Less: Depreciation  (True-Up TCOS, ln 82)</v>
      </c>
      <c r="D58" s="240"/>
      <c r="E58" s="232"/>
      <c r="F58" s="328">
        <f>R121</f>
        <v>23139785.281025421</v>
      </c>
      <c r="G58" s="328"/>
      <c r="H58" s="232"/>
      <c r="I58" s="241"/>
      <c r="J58" s="232"/>
      <c r="K58" s="242"/>
      <c r="L58" s="232"/>
      <c r="M58" s="232"/>
      <c r="N58" s="232"/>
      <c r="O58" s="232"/>
      <c r="P58" s="232"/>
      <c r="Q58" s="242"/>
      <c r="R58" s="242"/>
      <c r="S58" s="232"/>
    </row>
    <row r="59" spans="2:19">
      <c r="B59" s="232"/>
      <c r="C59" s="311" t="str">
        <f>"   Net Rev. Req, w/"&amp;F13&amp;" Basis Point ROE increase, less Depreciation"</f>
        <v xml:space="preserve">   Net Rev. Req, w/0 Basis Point ROE increase, less Depreciation</v>
      </c>
      <c r="D59" s="240"/>
      <c r="E59" s="232"/>
      <c r="F59" s="296">
        <f>F57-F58</f>
        <v>80077879.177448213</v>
      </c>
      <c r="G59" s="296"/>
      <c r="H59" s="232"/>
      <c r="I59" s="241"/>
      <c r="J59" s="232"/>
      <c r="K59" s="242"/>
      <c r="L59" s="232"/>
      <c r="M59" s="232"/>
      <c r="N59" s="232"/>
      <c r="O59" s="232"/>
      <c r="P59" s="232"/>
      <c r="Q59" s="242"/>
      <c r="R59" s="242"/>
      <c r="S59" s="232"/>
    </row>
    <row r="60" spans="2:19">
      <c r="B60" s="232"/>
      <c r="C60" s="232"/>
      <c r="D60" s="240"/>
      <c r="E60" s="232"/>
      <c r="F60" s="232"/>
      <c r="G60" s="232"/>
      <c r="H60" s="232"/>
      <c r="I60" s="241"/>
      <c r="J60" s="232"/>
      <c r="K60" s="242"/>
      <c r="L60" s="232"/>
      <c r="M60" s="232"/>
      <c r="N60" s="232"/>
      <c r="O60" s="232"/>
      <c r="P60" s="232"/>
      <c r="Q60" s="242"/>
      <c r="R60" s="242"/>
      <c r="S60" s="232"/>
    </row>
    <row r="61" spans="2:19" ht="15.75">
      <c r="B61" s="232"/>
      <c r="C61" s="330" t="str">
        <f>"C.   Determine Gross Margin Tax with hypothetical "&amp;F13&amp;" basis point increase in ROE."</f>
        <v>C.   Determine Gross Margin Tax with hypothetical 0 basis point increase in ROE.</v>
      </c>
      <c r="D61" s="331"/>
      <c r="E61" s="331"/>
      <c r="F61" s="332"/>
      <c r="G61" s="332"/>
      <c r="H61" s="329"/>
      <c r="I61" s="241"/>
      <c r="J61" s="232"/>
      <c r="K61" s="242"/>
      <c r="L61" s="232"/>
      <c r="M61" s="232"/>
      <c r="N61" s="232"/>
      <c r="O61" s="232"/>
      <c r="P61" s="232"/>
      <c r="Q61" s="242"/>
      <c r="R61" s="242"/>
      <c r="S61" s="232"/>
    </row>
    <row r="62" spans="2:19">
      <c r="B62" s="232"/>
      <c r="C62" s="324" t="str">
        <f>"   Net Revenue Requirement before Gross Margin Taxes, with "&amp;F13&amp;" "</f>
        <v xml:space="preserve">   Net Revenue Requirement before Gross Margin Taxes, with 0 </v>
      </c>
      <c r="D62" s="331"/>
      <c r="E62" s="331"/>
      <c r="F62" s="332">
        <f>+F55</f>
        <v>103217664.45847364</v>
      </c>
      <c r="G62" s="332"/>
      <c r="H62" s="329"/>
      <c r="I62" s="241"/>
      <c r="J62" s="232"/>
      <c r="K62" s="242"/>
      <c r="L62" s="232"/>
      <c r="M62" s="232"/>
      <c r="N62" s="232"/>
      <c r="O62" s="232"/>
      <c r="P62" s="232"/>
      <c r="Q62" s="242"/>
      <c r="R62" s="242"/>
      <c r="S62" s="232"/>
    </row>
    <row r="63" spans="2:19">
      <c r="B63" s="232"/>
      <c r="C63" s="324" t="s">
        <v>28</v>
      </c>
      <c r="D63" s="331"/>
      <c r="E63" s="331"/>
      <c r="F63" s="332"/>
      <c r="G63" s="332"/>
      <c r="H63" s="329"/>
      <c r="I63" s="241"/>
      <c r="J63" s="232"/>
      <c r="K63" s="242"/>
      <c r="L63" s="232"/>
      <c r="M63" s="232"/>
      <c r="N63" s="232"/>
      <c r="O63" s="232"/>
      <c r="P63" s="232"/>
      <c r="Q63" s="242"/>
      <c r="R63" s="242"/>
      <c r="S63" s="232"/>
    </row>
    <row r="64" spans="2:19">
      <c r="B64" s="232"/>
      <c r="C64" s="311" t="str">
        <f>S122</f>
        <v xml:space="preserve">       Apportionment Factor to Texas (Worksheet K, ln 12)</v>
      </c>
      <c r="D64" s="295"/>
      <c r="E64" s="329"/>
      <c r="F64" s="334">
        <f>R122</f>
        <v>0</v>
      </c>
      <c r="G64" s="396"/>
      <c r="H64" s="329"/>
      <c r="I64" s="241"/>
      <c r="J64" s="232"/>
      <c r="K64" s="242"/>
      <c r="L64" s="232"/>
      <c r="M64" s="232"/>
      <c r="N64" s="232"/>
      <c r="O64" s="232"/>
      <c r="P64" s="232"/>
      <c r="Q64" s="242"/>
      <c r="R64" s="242"/>
      <c r="S64" s="232"/>
    </row>
    <row r="65" spans="2:19">
      <c r="B65" s="232"/>
      <c r="C65" s="311" t="s">
        <v>29</v>
      </c>
      <c r="D65" s="295"/>
      <c r="E65" s="329"/>
      <c r="F65" s="332">
        <f>+F64*F62</f>
        <v>0</v>
      </c>
      <c r="G65" s="332"/>
      <c r="H65" s="329"/>
      <c r="I65" s="241"/>
      <c r="J65" s="232"/>
      <c r="K65" s="242"/>
      <c r="L65" s="232"/>
      <c r="M65" s="232"/>
      <c r="N65" s="232"/>
      <c r="O65" s="232"/>
      <c r="P65" s="232"/>
      <c r="Q65" s="242"/>
      <c r="R65" s="242"/>
      <c r="S65" s="232"/>
    </row>
    <row r="66" spans="2:19">
      <c r="B66" s="232"/>
      <c r="C66" s="311" t="str">
        <f>+PSO.WS.F.BPU.ATRR.Projected!C66</f>
        <v xml:space="preserve">       Taxable Percentage of Revenue (22%)</v>
      </c>
      <c r="D66" s="295"/>
      <c r="E66" s="329"/>
      <c r="F66" s="335">
        <f>+PSO.WS.F.BPU.ATRR.Projected!F66</f>
        <v>0.22</v>
      </c>
      <c r="G66" s="397"/>
      <c r="H66" s="329"/>
      <c r="I66" s="241"/>
      <c r="J66" s="232"/>
      <c r="K66" s="242"/>
      <c r="L66" s="232"/>
      <c r="M66" s="232"/>
      <c r="N66" s="232"/>
      <c r="O66" s="232"/>
      <c r="P66" s="232"/>
      <c r="Q66" s="242"/>
      <c r="R66" s="242"/>
      <c r="S66" s="232"/>
    </row>
    <row r="67" spans="2:19">
      <c r="B67" s="232"/>
      <c r="C67" s="311" t="s">
        <v>30</v>
      </c>
      <c r="D67" s="295"/>
      <c r="E67" s="329"/>
      <c r="F67" s="332">
        <f>+F65*F66</f>
        <v>0</v>
      </c>
      <c r="G67" s="332"/>
      <c r="H67" s="329"/>
      <c r="I67" s="241"/>
      <c r="J67" s="232"/>
      <c r="K67" s="242"/>
      <c r="L67" s="232"/>
      <c r="M67" s="232"/>
      <c r="N67" s="232"/>
      <c r="O67" s="232"/>
      <c r="P67" s="232"/>
      <c r="Q67" s="242"/>
      <c r="R67" s="242"/>
      <c r="S67" s="232"/>
    </row>
    <row r="68" spans="2:19">
      <c r="B68" s="232"/>
      <c r="C68" s="311" t="s">
        <v>31</v>
      </c>
      <c r="D68" s="295"/>
      <c r="E68" s="329"/>
      <c r="F68" s="335">
        <v>0.01</v>
      </c>
      <c r="G68" s="397"/>
      <c r="H68" s="329"/>
      <c r="I68" s="241"/>
      <c r="J68" s="232"/>
      <c r="K68" s="242"/>
      <c r="L68" s="232"/>
      <c r="M68" s="232"/>
      <c r="N68" s="232"/>
      <c r="O68" s="232"/>
      <c r="P68" s="232"/>
      <c r="Q68" s="242"/>
      <c r="R68" s="242"/>
      <c r="S68" s="232"/>
    </row>
    <row r="69" spans="2:19">
      <c r="B69" s="232"/>
      <c r="C69" s="311" t="s">
        <v>32</v>
      </c>
      <c r="D69" s="295"/>
      <c r="E69" s="329"/>
      <c r="F69" s="332">
        <f>+F67*F68</f>
        <v>0</v>
      </c>
      <c r="G69" s="332"/>
      <c r="H69" s="329"/>
      <c r="I69" s="241"/>
      <c r="J69" s="232"/>
      <c r="K69" s="242"/>
      <c r="L69" s="232"/>
      <c r="M69" s="232"/>
      <c r="N69" s="232"/>
      <c r="O69" s="232"/>
      <c r="P69" s="232"/>
      <c r="Q69" s="242"/>
      <c r="R69" s="242"/>
      <c r="S69" s="232"/>
    </row>
    <row r="70" spans="2:19">
      <c r="B70" s="232"/>
      <c r="C70" s="311" t="s">
        <v>33</v>
      </c>
      <c r="D70" s="295"/>
      <c r="E70" s="329"/>
      <c r="F70" s="336">
        <f>+ROUND((F69*F66*F64)/(1-F68)*F68,0)</f>
        <v>0</v>
      </c>
      <c r="G70" s="398"/>
      <c r="H70" s="329"/>
      <c r="I70" s="241"/>
      <c r="J70" s="232"/>
      <c r="K70" s="242"/>
      <c r="L70" s="232"/>
      <c r="M70" s="232"/>
      <c r="N70" s="232"/>
      <c r="O70" s="232"/>
      <c r="P70" s="232"/>
      <c r="Q70" s="242"/>
      <c r="R70" s="242"/>
      <c r="S70" s="232"/>
    </row>
    <row r="71" spans="2:19">
      <c r="B71" s="232"/>
      <c r="C71" s="311" t="s">
        <v>34</v>
      </c>
      <c r="D71" s="295"/>
      <c r="E71" s="329"/>
      <c r="F71" s="332">
        <f>+F69+F70</f>
        <v>0</v>
      </c>
      <c r="G71" s="332"/>
      <c r="H71" s="329"/>
      <c r="I71" s="241"/>
      <c r="J71" s="232"/>
      <c r="K71" s="242"/>
      <c r="L71" s="232"/>
      <c r="M71" s="232"/>
      <c r="N71" s="232"/>
      <c r="O71" s="232"/>
      <c r="P71" s="232"/>
      <c r="Q71" s="242"/>
      <c r="R71" s="242"/>
      <c r="S71" s="232"/>
    </row>
    <row r="72" spans="2:19">
      <c r="B72" s="232"/>
      <c r="C72" s="232"/>
      <c r="D72" s="240"/>
      <c r="E72" s="232"/>
      <c r="F72" s="232"/>
      <c r="G72" s="232"/>
      <c r="H72" s="232"/>
      <c r="I72" s="241"/>
      <c r="J72" s="232"/>
      <c r="K72" s="242"/>
      <c r="L72" s="232"/>
      <c r="M72" s="232"/>
      <c r="N72" s="232"/>
      <c r="O72" s="232"/>
      <c r="P72" s="232"/>
      <c r="Q72" s="242"/>
      <c r="R72" s="242"/>
      <c r="S72" s="232"/>
    </row>
    <row r="73" spans="2:19" ht="15.75">
      <c r="B73" s="232"/>
      <c r="C73" s="244" t="str">
        <f>"D.   Determine FCR with hypothetical "&amp;F13&amp;" basis point ROE increase."</f>
        <v>D.   Determine FCR with hypothetical 0 basis point ROE increase.</v>
      </c>
      <c r="D73" s="240"/>
      <c r="E73" s="232"/>
      <c r="F73" s="232"/>
      <c r="G73" s="232"/>
      <c r="H73" s="232"/>
      <c r="I73" s="216"/>
      <c r="J73" s="232"/>
      <c r="K73" s="242"/>
      <c r="L73" s="232"/>
      <c r="M73" s="232"/>
      <c r="N73" s="232"/>
      <c r="O73" s="232"/>
      <c r="P73" s="232"/>
      <c r="Q73" s="242"/>
      <c r="R73" s="242"/>
      <c r="S73" s="232"/>
    </row>
    <row r="74" spans="2:19">
      <c r="B74" s="232"/>
      <c r="C74" s="232"/>
      <c r="D74" s="240"/>
      <c r="E74" s="232"/>
      <c r="F74" s="232"/>
      <c r="G74" s="232"/>
      <c r="H74" s="232"/>
      <c r="I74" s="241"/>
      <c r="J74" s="232"/>
      <c r="K74" s="242"/>
      <c r="L74" s="232"/>
      <c r="M74" s="232"/>
      <c r="N74" s="232"/>
      <c r="O74" s="232"/>
      <c r="P74" s="232"/>
      <c r="Q74" s="242"/>
      <c r="R74" s="242"/>
      <c r="S74" s="232"/>
    </row>
    <row r="75" spans="2:19">
      <c r="B75" s="232"/>
      <c r="C75" s="305" t="str">
        <f>S123</f>
        <v xml:space="preserve">   Net Transmission Plant  (True-Up TCOS, ln 39)</v>
      </c>
      <c r="D75" s="240"/>
      <c r="E75" s="232"/>
      <c r="F75" s="296">
        <f>R123</f>
        <v>742759983.69051278</v>
      </c>
      <c r="G75" s="296"/>
      <c r="I75" s="216"/>
      <c r="J75" s="232"/>
      <c r="K75" s="242"/>
      <c r="L75" s="232"/>
      <c r="M75" s="232"/>
      <c r="N75" s="232"/>
      <c r="O75" s="232"/>
      <c r="P75" s="232"/>
      <c r="Q75" s="242"/>
      <c r="R75" s="242"/>
      <c r="S75" s="232"/>
    </row>
    <row r="76" spans="2:19" ht="15">
      <c r="B76" s="232"/>
      <c r="C76" s="311" t="str">
        <f>"   Net Revenue Requirement, with "&amp;F13&amp;" Basis Point ROE increase"</f>
        <v xml:space="preserve">   Net Revenue Requirement, with 0 Basis Point ROE increase</v>
      </c>
      <c r="D76" s="240"/>
      <c r="E76" s="232"/>
      <c r="F76" s="399">
        <f>+F57</f>
        <v>103217664.45847364</v>
      </c>
      <c r="G76" s="399"/>
      <c r="I76" s="216"/>
      <c r="J76" s="232"/>
      <c r="K76" s="242"/>
      <c r="L76" s="232"/>
      <c r="M76" s="232"/>
      <c r="N76" s="232"/>
      <c r="O76" s="232"/>
      <c r="P76" s="232"/>
      <c r="Q76" s="242"/>
      <c r="R76" s="242"/>
      <c r="S76" s="232"/>
    </row>
    <row r="77" spans="2:19">
      <c r="B77" s="232"/>
      <c r="C77" s="311" t="str">
        <f>"   FCR with "&amp;F13&amp;" Basis Point increase in ROE"</f>
        <v xml:space="preserve">   FCR with 0 Basis Point increase in ROE</v>
      </c>
      <c r="D77" s="240"/>
      <c r="E77" s="232"/>
      <c r="F77" s="338">
        <f>IF(F75=0,0,F76/F75)</f>
        <v>0.13896503140304006</v>
      </c>
      <c r="G77" s="338"/>
      <c r="I77" s="216"/>
      <c r="J77" s="232"/>
      <c r="K77" s="242"/>
      <c r="L77" s="232"/>
      <c r="M77" s="232"/>
      <c r="N77" s="232"/>
      <c r="O77" s="232"/>
      <c r="P77" s="232"/>
      <c r="Q77" s="242"/>
      <c r="R77" s="242"/>
      <c r="S77" s="232"/>
    </row>
    <row r="78" spans="2:19">
      <c r="B78" s="232"/>
      <c r="D78" s="240"/>
      <c r="E78" s="232"/>
      <c r="F78" s="329"/>
      <c r="G78" s="329"/>
      <c r="H78" s="400"/>
      <c r="I78" s="216"/>
      <c r="J78" s="232"/>
      <c r="K78" s="242"/>
      <c r="L78" s="232"/>
      <c r="M78" s="232"/>
      <c r="N78" s="232"/>
      <c r="O78" s="232"/>
      <c r="P78" s="232"/>
      <c r="Q78" s="242"/>
      <c r="R78" s="242"/>
      <c r="S78" s="232"/>
    </row>
    <row r="79" spans="2:19">
      <c r="B79" s="232"/>
      <c r="C79" s="311" t="str">
        <f>"   Net Rev. Req, w / "&amp;F13&amp;" Basis Point ROE increase, less Dep."</f>
        <v xml:space="preserve">   Net Rev. Req, w / 0 Basis Point ROE increase, less Dep.</v>
      </c>
      <c r="D79" s="240"/>
      <c r="E79" s="232"/>
      <c r="F79" s="296">
        <f>+F59</f>
        <v>80077879.177448213</v>
      </c>
      <c r="G79" s="296"/>
      <c r="I79" s="216"/>
      <c r="J79" s="232"/>
      <c r="K79" s="242"/>
      <c r="L79" s="232"/>
      <c r="M79" s="232"/>
      <c r="N79" s="232"/>
      <c r="O79" s="232"/>
      <c r="P79" s="232"/>
      <c r="Q79" s="242"/>
      <c r="R79" s="242"/>
      <c r="S79" s="232"/>
    </row>
    <row r="80" spans="2:19">
      <c r="B80" s="232"/>
      <c r="C80" s="311" t="str">
        <f>"   FCR with "&amp;F13&amp;" Basis Point ROE increase, less Depreciation"</f>
        <v xml:space="preserve">   FCR with 0 Basis Point ROE increase, less Depreciation</v>
      </c>
      <c r="D80" s="240"/>
      <c r="E80" s="232"/>
      <c r="F80" s="338">
        <f>IF(F75=0,0,F79/F75)</f>
        <v>0.10781124580725181</v>
      </c>
      <c r="G80" s="338"/>
      <c r="H80" s="245"/>
      <c r="I80" s="216"/>
      <c r="J80" s="232"/>
      <c r="K80" s="242"/>
      <c r="L80" s="232"/>
      <c r="M80" s="232"/>
      <c r="N80" s="232"/>
      <c r="O80" s="232"/>
      <c r="P80" s="232"/>
      <c r="Q80" s="242"/>
      <c r="R80" s="242"/>
      <c r="S80" s="232"/>
    </row>
    <row r="81" spans="2:19">
      <c r="B81" s="232"/>
      <c r="C81" s="305" t="str">
        <f>S124</f>
        <v xml:space="preserve">   FCR less Depreciation  (True-Up TCOS, ln 12)</v>
      </c>
      <c r="D81" s="240"/>
      <c r="E81" s="232"/>
      <c r="F81" s="339">
        <f>R124</f>
        <v>0.10781124580725182</v>
      </c>
      <c r="G81" s="339"/>
      <c r="H81" s="401"/>
      <c r="I81" s="216"/>
      <c r="J81" s="232"/>
      <c r="K81" s="242"/>
      <c r="L81" s="232"/>
      <c r="M81" s="232"/>
      <c r="N81" s="232"/>
      <c r="O81" s="232"/>
      <c r="P81" s="232"/>
      <c r="Q81" s="242"/>
      <c r="R81" s="242"/>
      <c r="S81" s="232"/>
    </row>
    <row r="82" spans="2:19">
      <c r="B82" s="232"/>
      <c r="C82" s="311" t="str">
        <f>"   Incremental FCR with "&amp;F13&amp;" Basis Point ROE increase, less Depreciation"</f>
        <v xml:space="preserve">   Incremental FCR with 0 Basis Point ROE increase, less Depreciation</v>
      </c>
      <c r="D82" s="240"/>
      <c r="E82" s="232"/>
      <c r="F82" s="338">
        <f>F80-F81</f>
        <v>0</v>
      </c>
      <c r="G82" s="338"/>
      <c r="I82" s="216"/>
      <c r="J82" s="232"/>
      <c r="K82" s="242"/>
      <c r="L82" s="232"/>
      <c r="M82" s="232"/>
      <c r="N82" s="232"/>
      <c r="O82" s="232"/>
      <c r="P82" s="232"/>
      <c r="Q82" s="242"/>
      <c r="R82" s="242"/>
      <c r="S82" s="232"/>
    </row>
    <row r="83" spans="2:19">
      <c r="B83" s="232"/>
      <c r="C83" s="311"/>
      <c r="D83" s="240"/>
      <c r="E83" s="232"/>
      <c r="F83" s="338"/>
      <c r="G83" s="338"/>
      <c r="H83" s="232"/>
      <c r="I83" s="241"/>
      <c r="J83" s="232"/>
      <c r="K83" s="242"/>
      <c r="L83" s="232"/>
      <c r="M83" s="232"/>
      <c r="N83" s="232"/>
      <c r="O83" s="232"/>
      <c r="P83" s="232"/>
      <c r="Q83" s="242"/>
      <c r="R83" s="242"/>
      <c r="S83" s="232"/>
    </row>
    <row r="84" spans="2:19" ht="18.75">
      <c r="B84" s="302" t="s">
        <v>35</v>
      </c>
      <c r="C84" s="303" t="s">
        <v>36</v>
      </c>
      <c r="D84" s="240"/>
      <c r="E84" s="232"/>
      <c r="F84" s="338"/>
      <c r="G84" s="338"/>
      <c r="H84" s="232"/>
      <c r="I84" s="241"/>
      <c r="J84" s="232"/>
      <c r="K84" s="242"/>
      <c r="L84" s="232"/>
      <c r="M84" s="232"/>
      <c r="N84" s="232"/>
      <c r="O84" s="232"/>
      <c r="P84" s="232"/>
      <c r="Q84" s="242"/>
      <c r="R84" s="242"/>
      <c r="S84" s="232"/>
    </row>
    <row r="85" spans="2:19" ht="12.75" customHeight="1">
      <c r="B85" s="302"/>
      <c r="C85" s="303"/>
      <c r="D85" s="240"/>
      <c r="E85" s="232"/>
      <c r="F85" s="338"/>
      <c r="G85" s="338"/>
      <c r="H85" s="232"/>
      <c r="I85" s="241"/>
      <c r="J85" s="232"/>
      <c r="K85" s="242"/>
      <c r="L85" s="232"/>
      <c r="M85" s="232"/>
      <c r="N85" s="232"/>
      <c r="O85" s="232"/>
      <c r="P85" s="232"/>
      <c r="Q85" s="242"/>
      <c r="R85" s="242"/>
      <c r="S85" s="232"/>
    </row>
    <row r="86" spans="2:19" ht="12.75" customHeight="1">
      <c r="B86" s="302"/>
      <c r="C86" s="311" t="s">
        <v>37</v>
      </c>
      <c r="D86" s="240"/>
      <c r="F86" s="333">
        <f>R125</f>
        <v>1120419325.7307799</v>
      </c>
      <c r="G86" s="232" t="s">
        <v>283</v>
      </c>
      <c r="I86" s="241"/>
      <c r="J86" s="232"/>
      <c r="K86" s="242"/>
      <c r="L86" s="232"/>
      <c r="M86" s="232"/>
      <c r="N86" s="232"/>
      <c r="O86" s="232"/>
      <c r="P86" s="232"/>
      <c r="Q86" s="242"/>
      <c r="R86" s="242"/>
      <c r="S86" s="232"/>
    </row>
    <row r="87" spans="2:19" ht="12.75" customHeight="1">
      <c r="B87" s="302"/>
      <c r="C87" s="311" t="s">
        <v>38</v>
      </c>
      <c r="D87" s="240"/>
      <c r="F87" s="340">
        <f>R126</f>
        <v>1187983423.1752901</v>
      </c>
      <c r="G87" s="232" t="s">
        <v>283</v>
      </c>
      <c r="I87" s="241"/>
      <c r="J87" s="232"/>
      <c r="K87" s="242"/>
      <c r="L87" s="232"/>
      <c r="M87" s="232"/>
      <c r="N87" s="232"/>
      <c r="O87" s="232"/>
      <c r="P87" s="232"/>
      <c r="Q87" s="242"/>
      <c r="R87" s="242"/>
      <c r="S87" s="232"/>
    </row>
    <row r="88" spans="2:19" ht="12.75" customHeight="1">
      <c r="B88" s="302"/>
      <c r="C88" s="311"/>
      <c r="D88" s="240"/>
      <c r="F88" s="241">
        <f>+F87+F86</f>
        <v>2308402748.9060698</v>
      </c>
      <c r="G88" s="241"/>
      <c r="H88" s="232"/>
      <c r="I88" s="241"/>
      <c r="J88" s="232"/>
      <c r="K88" s="242"/>
      <c r="L88" s="232"/>
      <c r="M88" s="232"/>
      <c r="N88" s="232"/>
      <c r="O88" s="232"/>
      <c r="P88" s="232"/>
      <c r="Q88" s="242"/>
      <c r="R88" s="242"/>
      <c r="S88" s="232"/>
    </row>
    <row r="89" spans="2:19">
      <c r="B89" s="232"/>
      <c r="C89" s="311" t="str">
        <f>+S127</f>
        <v>Transmission Plant Average Balance for 2018</v>
      </c>
      <c r="D89" s="295"/>
      <c r="E89" s="155"/>
      <c r="F89" s="322">
        <f>+F88/2</f>
        <v>1154201374.4530349</v>
      </c>
      <c r="G89" s="322"/>
      <c r="I89" s="241"/>
      <c r="J89" s="232"/>
      <c r="K89" s="242"/>
      <c r="L89" s="232"/>
      <c r="M89" s="232"/>
      <c r="N89" s="232"/>
      <c r="O89" s="232"/>
      <c r="P89" s="232"/>
      <c r="Q89" s="242"/>
      <c r="R89" s="242"/>
      <c r="S89" s="232"/>
    </row>
    <row r="90" spans="2:19">
      <c r="B90" s="232"/>
      <c r="C90" s="247" t="str">
        <f>S128</f>
        <v>Annual Depreciation Expense  (True-Up TCOS, ln 82)</v>
      </c>
      <c r="D90" s="295"/>
      <c r="E90" s="329"/>
      <c r="F90" s="322">
        <f>R128</f>
        <v>27316908.915958099</v>
      </c>
      <c r="G90" s="322"/>
      <c r="I90" s="241"/>
      <c r="J90" s="232"/>
      <c r="K90" s="242"/>
      <c r="L90" s="232"/>
      <c r="M90" s="232"/>
      <c r="N90" s="232"/>
      <c r="O90" s="232"/>
      <c r="P90" s="232"/>
      <c r="Q90" s="242"/>
      <c r="R90" s="242"/>
      <c r="S90" s="232"/>
    </row>
    <row r="91" spans="2:19">
      <c r="B91" s="232"/>
      <c r="C91" s="311" t="s">
        <v>39</v>
      </c>
      <c r="D91" s="240"/>
      <c r="E91" s="232"/>
      <c r="F91" s="338">
        <f>IF(F89=0,0,F90/F89)</f>
        <v>2.3667368208518488E-2</v>
      </c>
      <c r="G91" s="338"/>
      <c r="H91" s="232"/>
      <c r="I91" s="342"/>
      <c r="J91" s="232"/>
      <c r="K91" s="242"/>
      <c r="L91" s="232"/>
      <c r="M91" s="232"/>
      <c r="N91" s="232"/>
      <c r="O91" s="232"/>
      <c r="P91" s="232"/>
      <c r="Q91" s="242"/>
      <c r="R91" s="242"/>
      <c r="S91" s="232"/>
    </row>
    <row r="92" spans="2:19">
      <c r="B92" s="232"/>
      <c r="C92" s="311" t="s">
        <v>40</v>
      </c>
      <c r="D92" s="240"/>
      <c r="E92" s="232"/>
      <c r="F92" s="343">
        <f>IF(F91=0,0,1/F91)</f>
        <v>42.252268659093012</v>
      </c>
      <c r="G92" s="343"/>
      <c r="H92" s="232"/>
      <c r="I92" s="241"/>
      <c r="J92" s="232"/>
      <c r="K92" s="242"/>
      <c r="L92" s="232"/>
      <c r="M92" s="232"/>
      <c r="N92" s="232"/>
      <c r="O92" s="232"/>
      <c r="P92" s="232"/>
      <c r="Q92" s="242"/>
      <c r="R92" s="242"/>
      <c r="S92" s="232"/>
    </row>
    <row r="93" spans="2:19">
      <c r="B93" s="232"/>
      <c r="C93" s="311" t="s">
        <v>41</v>
      </c>
      <c r="D93" s="240"/>
      <c r="E93" s="232"/>
      <c r="F93" s="344">
        <f>ROUND(F92,0)</f>
        <v>42</v>
      </c>
      <c r="G93" s="344"/>
      <c r="H93" s="232"/>
      <c r="I93" s="241"/>
      <c r="J93" s="232"/>
      <c r="K93" s="242"/>
      <c r="L93" s="232"/>
      <c r="M93" s="232"/>
      <c r="N93" s="232"/>
      <c r="O93" s="232"/>
      <c r="P93" s="232"/>
      <c r="Q93" s="242"/>
      <c r="R93" s="242"/>
      <c r="S93" s="232"/>
    </row>
    <row r="94" spans="2:19">
      <c r="B94" s="232"/>
      <c r="C94" s="311"/>
      <c r="D94" s="240"/>
      <c r="E94" s="232"/>
      <c r="F94" s="344"/>
      <c r="G94" s="344"/>
      <c r="H94" s="232"/>
      <c r="I94" s="241"/>
      <c r="J94" s="232"/>
      <c r="K94" s="242"/>
      <c r="L94" s="232"/>
      <c r="M94" s="232"/>
      <c r="N94" s="232"/>
      <c r="O94" s="232"/>
      <c r="P94" s="232"/>
      <c r="Q94" s="242"/>
      <c r="R94" s="242"/>
      <c r="S94" s="232"/>
    </row>
    <row r="95" spans="2:19">
      <c r="B95" s="232"/>
      <c r="C95" s="311"/>
      <c r="D95" s="240"/>
      <c r="E95" s="232"/>
      <c r="F95" s="344"/>
      <c r="G95" s="344"/>
      <c r="H95" s="232"/>
      <c r="I95" s="241"/>
      <c r="J95" s="232"/>
      <c r="K95" s="242"/>
      <c r="L95" s="232"/>
      <c r="M95" s="232"/>
      <c r="N95" s="232"/>
      <c r="O95" s="232"/>
      <c r="P95" s="232"/>
      <c r="Q95" s="242"/>
      <c r="R95" s="242"/>
      <c r="S95" s="232"/>
    </row>
    <row r="96" spans="2:19">
      <c r="B96" s="232"/>
      <c r="C96" s="311"/>
      <c r="D96" s="240"/>
      <c r="E96" s="232"/>
      <c r="F96" s="344"/>
      <c r="G96" s="344"/>
      <c r="H96" s="232"/>
      <c r="I96" s="241"/>
      <c r="J96" s="232"/>
      <c r="K96" s="242"/>
      <c r="L96" s="232"/>
      <c r="M96" s="232"/>
      <c r="N96" s="232"/>
      <c r="O96" s="232"/>
      <c r="P96" s="232"/>
      <c r="Q96" s="242"/>
      <c r="R96" s="242"/>
      <c r="S96" s="232"/>
    </row>
    <row r="97" spans="3:19">
      <c r="C97" s="232"/>
      <c r="D97" s="240"/>
      <c r="E97" s="232"/>
      <c r="F97" s="232"/>
      <c r="G97" s="232"/>
      <c r="H97" s="232"/>
      <c r="I97" s="241"/>
      <c r="J97" s="232"/>
      <c r="K97" s="242"/>
      <c r="L97" s="232"/>
      <c r="M97" s="232"/>
      <c r="N97" s="232"/>
      <c r="O97" s="232"/>
      <c r="P97" s="232"/>
      <c r="Q97" s="242"/>
      <c r="R97" s="349" t="s">
        <v>126</v>
      </c>
      <c r="S97" s="233" t="s">
        <v>132</v>
      </c>
    </row>
    <row r="98" spans="3:19">
      <c r="C98" s="232"/>
      <c r="D98" s="240"/>
      <c r="E98" s="232"/>
      <c r="F98" s="232"/>
      <c r="G98" s="232"/>
      <c r="H98" s="232"/>
      <c r="I98" s="241"/>
      <c r="J98" s="232"/>
      <c r="K98" s="242"/>
      <c r="L98" s="232"/>
      <c r="M98" s="232"/>
      <c r="N98" s="232"/>
      <c r="O98" s="232"/>
      <c r="P98" s="232"/>
      <c r="Q98" s="242"/>
    </row>
    <row r="99" spans="3:19">
      <c r="C99" s="239" t="s">
        <v>122</v>
      </c>
      <c r="J99" s="195"/>
      <c r="L99" s="239" t="s">
        <v>121</v>
      </c>
      <c r="N99" s="232"/>
      <c r="O99" s="232"/>
      <c r="P99" s="232"/>
      <c r="Q99" s="242"/>
    </row>
    <row r="100" spans="3:19">
      <c r="C100" s="232"/>
      <c r="D100" s="240"/>
      <c r="E100" s="232"/>
      <c r="F100" s="232"/>
      <c r="G100" s="232"/>
      <c r="H100" s="232"/>
      <c r="I100" s="241"/>
      <c r="J100" s="232"/>
      <c r="K100" s="242"/>
      <c r="L100" s="232"/>
      <c r="M100" s="232"/>
      <c r="N100" s="232"/>
      <c r="O100" s="232"/>
      <c r="P100" s="232"/>
      <c r="Q100" s="242"/>
      <c r="S100" s="233" t="s">
        <v>119</v>
      </c>
    </row>
    <row r="101" spans="3:19">
      <c r="C101" s="232"/>
      <c r="D101" s="240"/>
      <c r="E101" s="232"/>
      <c r="F101" s="232"/>
      <c r="G101" s="232"/>
      <c r="H101" s="232"/>
      <c r="I101" s="241"/>
      <c r="J101" s="232"/>
      <c r="K101" s="242"/>
      <c r="L101" s="232"/>
      <c r="M101" s="232"/>
      <c r="N101" s="232"/>
      <c r="O101" s="232"/>
      <c r="P101" s="232"/>
      <c r="Q101" s="242"/>
      <c r="R101" s="349" t="s">
        <v>115</v>
      </c>
      <c r="S101" s="203" t="s">
        <v>135</v>
      </c>
    </row>
    <row r="102" spans="3:19" ht="13.5" thickBot="1">
      <c r="C102" s="232"/>
      <c r="D102" s="240"/>
      <c r="E102" s="232"/>
      <c r="F102" s="232"/>
      <c r="G102" s="232"/>
      <c r="H102" s="232"/>
      <c r="I102" s="241"/>
      <c r="J102" s="232"/>
      <c r="K102" s="242"/>
      <c r="L102" s="232"/>
      <c r="M102" s="232"/>
      <c r="N102" s="232"/>
      <c r="O102" s="232"/>
      <c r="P102" s="232"/>
      <c r="Q102" s="242"/>
      <c r="R102" s="350" t="s">
        <v>227</v>
      </c>
    </row>
    <row r="103" spans="3:19">
      <c r="C103" s="232"/>
      <c r="D103" s="240"/>
      <c r="E103" s="232"/>
      <c r="F103" s="232"/>
      <c r="G103" s="232"/>
      <c r="H103" s="232"/>
      <c r="I103" s="241"/>
      <c r="J103" s="232"/>
      <c r="K103" s="242"/>
      <c r="L103" s="232"/>
      <c r="M103" s="232"/>
      <c r="N103" s="232"/>
      <c r="O103" s="232"/>
      <c r="P103" s="232"/>
      <c r="Q103" s="242"/>
      <c r="R103" s="402" t="s">
        <v>212</v>
      </c>
      <c r="S103" s="403" t="s">
        <v>143</v>
      </c>
    </row>
    <row r="104" spans="3:19">
      <c r="C104" s="232"/>
      <c r="D104" s="240"/>
      <c r="E104" s="232"/>
      <c r="F104" s="232"/>
      <c r="G104" s="232"/>
      <c r="H104" s="232"/>
      <c r="I104" s="241"/>
      <c r="J104" s="232"/>
      <c r="K104" s="242"/>
      <c r="L104" s="232"/>
      <c r="M104" s="232"/>
      <c r="N104" s="232"/>
      <c r="O104" s="232"/>
      <c r="P104" s="232"/>
      <c r="Q104" s="242"/>
      <c r="R104" s="404">
        <v>2020</v>
      </c>
      <c r="S104" s="272" t="s">
        <v>94</v>
      </c>
    </row>
    <row r="105" spans="3:19">
      <c r="C105" s="232"/>
      <c r="D105" s="240"/>
      <c r="E105" s="232"/>
      <c r="F105" s="232"/>
      <c r="G105" s="232"/>
      <c r="H105" s="232"/>
      <c r="I105" s="241"/>
      <c r="J105" s="232"/>
      <c r="K105" s="242"/>
      <c r="L105" s="232"/>
      <c r="M105" s="232"/>
      <c r="N105" s="232"/>
      <c r="O105" s="232"/>
      <c r="P105" s="232"/>
      <c r="Q105" s="242"/>
      <c r="R105" s="405">
        <v>0.105</v>
      </c>
      <c r="S105" s="354" t="s">
        <v>311</v>
      </c>
    </row>
    <row r="106" spans="3:19">
      <c r="C106" s="232"/>
      <c r="D106" s="240"/>
      <c r="E106" s="232"/>
      <c r="F106" s="232"/>
      <c r="G106" s="232"/>
      <c r="H106" s="232"/>
      <c r="I106" s="241"/>
      <c r="J106" s="232"/>
      <c r="K106" s="242"/>
      <c r="L106" s="232"/>
      <c r="M106" s="232"/>
      <c r="N106" s="232"/>
      <c r="O106" s="232"/>
      <c r="P106" s="232"/>
      <c r="Q106" s="242"/>
      <c r="R106" s="406">
        <v>0</v>
      </c>
      <c r="S106" s="354" t="s">
        <v>1</v>
      </c>
    </row>
    <row r="107" spans="3:19">
      <c r="C107" s="232"/>
      <c r="D107" s="240"/>
      <c r="E107" s="232"/>
      <c r="F107" s="232"/>
      <c r="G107" s="232"/>
      <c r="H107" s="232"/>
      <c r="I107" s="241"/>
      <c r="J107" s="232"/>
      <c r="K107" s="242"/>
      <c r="L107" s="232"/>
      <c r="M107" s="232"/>
      <c r="N107" s="232"/>
      <c r="O107" s="232"/>
      <c r="P107" s="232"/>
      <c r="Q107" s="242"/>
      <c r="R107" s="405">
        <v>0.46528590554198529</v>
      </c>
      <c r="S107" s="358" t="s">
        <v>109</v>
      </c>
    </row>
    <row r="108" spans="3:19">
      <c r="C108" s="232"/>
      <c r="D108" s="240"/>
      <c r="E108" s="232"/>
      <c r="F108" s="232"/>
      <c r="G108" s="232"/>
      <c r="H108" s="232"/>
      <c r="I108" s="241"/>
      <c r="J108" s="232"/>
      <c r="K108" s="242"/>
      <c r="L108" s="232"/>
      <c r="M108" s="232"/>
      <c r="N108" s="232"/>
      <c r="O108" s="232"/>
      <c r="P108" s="232"/>
      <c r="Q108" s="242"/>
      <c r="R108" s="407">
        <v>3.6100419315000257E-2</v>
      </c>
      <c r="S108" s="358" t="s">
        <v>110</v>
      </c>
    </row>
    <row r="109" spans="3:19">
      <c r="C109" s="232"/>
      <c r="D109" s="240"/>
      <c r="E109" s="232"/>
      <c r="F109" s="232"/>
      <c r="G109" s="232"/>
      <c r="H109" s="232"/>
      <c r="I109" s="241"/>
      <c r="J109" s="232"/>
      <c r="K109" s="242"/>
      <c r="L109" s="232"/>
      <c r="M109" s="232"/>
      <c r="N109" s="232"/>
      <c r="O109" s="232"/>
      <c r="P109" s="232"/>
      <c r="Q109" s="242"/>
      <c r="R109" s="405">
        <v>0</v>
      </c>
      <c r="S109" s="358" t="s">
        <v>111</v>
      </c>
    </row>
    <row r="110" spans="3:19">
      <c r="C110" s="232"/>
      <c r="D110" s="240"/>
      <c r="E110" s="232"/>
      <c r="F110" s="232"/>
      <c r="G110" s="232"/>
      <c r="H110" s="232"/>
      <c r="I110" s="241"/>
      <c r="J110" s="232"/>
      <c r="K110" s="242"/>
      <c r="L110" s="232"/>
      <c r="M110" s="232"/>
      <c r="N110" s="232"/>
      <c r="O110" s="232"/>
      <c r="P110" s="232"/>
      <c r="Q110" s="242"/>
      <c r="R110" s="407">
        <v>0</v>
      </c>
      <c r="S110" s="358" t="s">
        <v>112</v>
      </c>
    </row>
    <row r="111" spans="3:19">
      <c r="C111" s="232"/>
      <c r="D111" s="240"/>
      <c r="E111" s="232"/>
      <c r="F111" s="232"/>
      <c r="G111" s="232"/>
      <c r="H111" s="232"/>
      <c r="I111" s="241"/>
      <c r="J111" s="232"/>
      <c r="K111" s="242"/>
      <c r="L111" s="232"/>
      <c r="M111" s="232"/>
      <c r="N111" s="232"/>
      <c r="O111" s="232"/>
      <c r="P111" s="232"/>
      <c r="Q111" s="242"/>
      <c r="R111" s="405">
        <v>0.53471409445801488</v>
      </c>
      <c r="S111" s="359" t="s">
        <v>113</v>
      </c>
    </row>
    <row r="112" spans="3:19">
      <c r="C112" s="232"/>
      <c r="D112" s="240"/>
      <c r="E112" s="232"/>
      <c r="F112" s="232"/>
      <c r="G112" s="232"/>
      <c r="H112" s="232"/>
      <c r="I112" s="241"/>
      <c r="J112" s="232"/>
      <c r="K112" s="242"/>
      <c r="L112" s="232"/>
      <c r="M112" s="232"/>
      <c r="N112" s="232"/>
      <c r="O112" s="232"/>
      <c r="P112" s="232"/>
      <c r="Q112" s="242"/>
      <c r="R112" s="360">
        <v>604335882.55089986</v>
      </c>
      <c r="S112" s="408" t="s">
        <v>232</v>
      </c>
    </row>
    <row r="113" spans="3:19">
      <c r="C113" s="232"/>
      <c r="D113" s="240"/>
      <c r="E113" s="232"/>
      <c r="F113" s="232"/>
      <c r="G113" s="232"/>
      <c r="H113" s="232"/>
      <c r="I113" s="241"/>
      <c r="J113" s="232"/>
      <c r="K113" s="242"/>
      <c r="L113" s="232"/>
      <c r="M113" s="232"/>
      <c r="N113" s="232"/>
      <c r="O113" s="232"/>
      <c r="P113" s="232"/>
      <c r="Q113" s="242"/>
      <c r="R113" s="362">
        <v>0.24065199999999998</v>
      </c>
      <c r="S113" s="409" t="s">
        <v>312</v>
      </c>
    </row>
    <row r="114" spans="3:19">
      <c r="C114" s="232"/>
      <c r="D114" s="240"/>
      <c r="E114" s="232"/>
      <c r="F114" s="232"/>
      <c r="G114" s="232"/>
      <c r="H114" s="232"/>
      <c r="I114" s="241"/>
      <c r="J114" s="232"/>
      <c r="K114" s="242"/>
      <c r="L114" s="232"/>
      <c r="M114" s="232"/>
      <c r="N114" s="232"/>
      <c r="O114" s="232"/>
      <c r="P114" s="232"/>
      <c r="Q114" s="242"/>
      <c r="R114" s="360">
        <v>-309556.88283684372</v>
      </c>
      <c r="S114" s="409" t="s">
        <v>313</v>
      </c>
    </row>
    <row r="115" spans="3:19">
      <c r="C115" s="232"/>
      <c r="D115" s="240"/>
      <c r="E115" s="232"/>
      <c r="F115" s="232"/>
      <c r="G115" s="232"/>
      <c r="H115" s="232"/>
      <c r="I115" s="241"/>
      <c r="J115" s="232"/>
      <c r="K115" s="242"/>
      <c r="L115" s="232"/>
      <c r="M115" s="232"/>
      <c r="N115" s="232"/>
      <c r="O115" s="232"/>
      <c r="P115" s="232"/>
      <c r="Q115" s="242"/>
      <c r="R115" s="360">
        <v>-5050742.2565344656</v>
      </c>
      <c r="S115" s="410" t="s">
        <v>324</v>
      </c>
    </row>
    <row r="116" spans="3:19">
      <c r="C116" s="232"/>
      <c r="D116" s="240"/>
      <c r="E116" s="232"/>
      <c r="F116" s="232"/>
      <c r="G116" s="232"/>
      <c r="H116" s="232"/>
      <c r="I116" s="241"/>
      <c r="J116" s="232"/>
      <c r="K116" s="242"/>
      <c r="L116" s="232"/>
      <c r="M116" s="232"/>
      <c r="N116" s="232"/>
      <c r="O116" s="232"/>
      <c r="P116" s="232"/>
      <c r="Q116" s="242"/>
      <c r="R116" s="360">
        <v>91995.52734714518</v>
      </c>
      <c r="S116" s="410" t="s">
        <v>325</v>
      </c>
    </row>
    <row r="117" spans="3:19">
      <c r="C117" s="232"/>
      <c r="D117" s="240"/>
      <c r="E117" s="232"/>
      <c r="F117" s="232"/>
      <c r="G117" s="232"/>
      <c r="H117" s="232"/>
      <c r="I117" s="241"/>
      <c r="J117" s="232"/>
      <c r="K117" s="242"/>
      <c r="L117" s="232"/>
      <c r="M117" s="232"/>
      <c r="N117" s="232"/>
      <c r="O117" s="232"/>
      <c r="P117" s="232"/>
      <c r="Q117" s="242"/>
      <c r="R117" s="360">
        <v>103217664.45847365</v>
      </c>
      <c r="S117" s="409" t="s">
        <v>314</v>
      </c>
    </row>
    <row r="118" spans="3:19">
      <c r="C118" s="232"/>
      <c r="D118" s="240"/>
      <c r="E118" s="232"/>
      <c r="F118" s="232"/>
      <c r="G118" s="232"/>
      <c r="H118" s="232"/>
      <c r="I118" s="241"/>
      <c r="J118" s="232"/>
      <c r="K118" s="242"/>
      <c r="L118" s="232"/>
      <c r="M118" s="232"/>
      <c r="N118" s="232"/>
      <c r="O118" s="232"/>
      <c r="P118" s="232"/>
      <c r="Q118" s="242"/>
      <c r="R118" s="360">
        <v>44081465.654302746</v>
      </c>
      <c r="S118" s="409" t="s">
        <v>315</v>
      </c>
    </row>
    <row r="119" spans="3:19">
      <c r="C119" s="232"/>
      <c r="D119" s="240"/>
      <c r="E119" s="232"/>
      <c r="F119" s="232"/>
      <c r="G119" s="232"/>
      <c r="H119" s="232"/>
      <c r="I119" s="241"/>
      <c r="J119" s="232"/>
      <c r="K119" s="242"/>
      <c r="L119" s="232"/>
      <c r="M119" s="232"/>
      <c r="N119" s="232"/>
      <c r="O119" s="232"/>
      <c r="P119" s="232"/>
      <c r="Q119" s="242"/>
      <c r="R119" s="360">
        <v>5484901.6051487243</v>
      </c>
      <c r="S119" s="409" t="s">
        <v>316</v>
      </c>
    </row>
    <row r="120" spans="3:19">
      <c r="C120" s="232"/>
      <c r="D120" s="240"/>
      <c r="E120" s="232"/>
      <c r="F120" s="232"/>
      <c r="G120" s="232"/>
      <c r="H120" s="232"/>
      <c r="I120" s="241"/>
      <c r="J120" s="232"/>
      <c r="K120" s="242"/>
      <c r="L120" s="232"/>
      <c r="M120" s="232"/>
      <c r="N120" s="232"/>
      <c r="O120" s="232"/>
      <c r="P120" s="232"/>
      <c r="Q120" s="242"/>
      <c r="R120" s="360">
        <v>0</v>
      </c>
      <c r="S120" s="409" t="s">
        <v>317</v>
      </c>
    </row>
    <row r="121" spans="3:19">
      <c r="C121" s="232"/>
      <c r="D121" s="240"/>
      <c r="E121" s="232"/>
      <c r="F121" s="232"/>
      <c r="G121" s="232"/>
      <c r="H121" s="232"/>
      <c r="I121" s="241"/>
      <c r="J121" s="232"/>
      <c r="K121" s="242"/>
      <c r="L121" s="232"/>
      <c r="M121" s="232"/>
      <c r="N121" s="232"/>
      <c r="O121" s="232"/>
      <c r="P121" s="232"/>
      <c r="Q121" s="242"/>
      <c r="R121" s="360">
        <v>23139785.281025421</v>
      </c>
      <c r="S121" s="409" t="s">
        <v>318</v>
      </c>
    </row>
    <row r="122" spans="3:19">
      <c r="C122" s="232"/>
      <c r="D122" s="240"/>
      <c r="E122" s="232"/>
      <c r="F122" s="232"/>
      <c r="G122" s="232"/>
      <c r="H122" s="232"/>
      <c r="I122" s="241"/>
      <c r="J122" s="232"/>
      <c r="K122" s="242"/>
      <c r="L122" s="232"/>
      <c r="M122" s="232"/>
      <c r="N122" s="232"/>
      <c r="O122" s="232"/>
      <c r="P122" s="232"/>
      <c r="Q122" s="242"/>
      <c r="R122" s="362">
        <v>0</v>
      </c>
      <c r="S122" s="409" t="s">
        <v>118</v>
      </c>
    </row>
    <row r="123" spans="3:19">
      <c r="C123" s="232"/>
      <c r="D123" s="240"/>
      <c r="E123" s="232"/>
      <c r="F123" s="232"/>
      <c r="G123" s="232"/>
      <c r="H123" s="232"/>
      <c r="I123" s="241"/>
      <c r="J123" s="232"/>
      <c r="K123" s="242"/>
      <c r="L123" s="232"/>
      <c r="M123" s="232"/>
      <c r="N123" s="232"/>
      <c r="O123" s="232"/>
      <c r="P123" s="232"/>
      <c r="Q123" s="242"/>
      <c r="R123" s="360">
        <v>742759983.69051278</v>
      </c>
      <c r="S123" s="409" t="s">
        <v>233</v>
      </c>
    </row>
    <row r="124" spans="3:19">
      <c r="C124" s="232"/>
      <c r="D124" s="240"/>
      <c r="E124" s="232"/>
      <c r="F124" s="232"/>
      <c r="G124" s="232"/>
      <c r="H124" s="232"/>
      <c r="I124" s="241"/>
      <c r="J124" s="232"/>
      <c r="K124" s="242"/>
      <c r="L124" s="232"/>
      <c r="M124" s="232"/>
      <c r="N124" s="232"/>
      <c r="O124" s="232"/>
      <c r="P124" s="232"/>
      <c r="Q124" s="242"/>
      <c r="R124" s="362">
        <v>0.10781124580725182</v>
      </c>
      <c r="S124" s="365" t="s">
        <v>234</v>
      </c>
    </row>
    <row r="125" spans="3:19">
      <c r="C125" s="232"/>
      <c r="D125" s="240"/>
      <c r="E125" s="232"/>
      <c r="F125" s="232"/>
      <c r="G125" s="232"/>
      <c r="H125" s="232"/>
      <c r="I125" s="241"/>
      <c r="J125" s="232"/>
      <c r="K125" s="242"/>
      <c r="L125" s="232"/>
      <c r="M125" s="232"/>
      <c r="N125" s="232"/>
      <c r="O125" s="232"/>
      <c r="P125" s="232"/>
      <c r="Q125" s="242"/>
      <c r="R125" s="411">
        <v>1120419325.7307799</v>
      </c>
      <c r="S125" s="358" t="s">
        <v>37</v>
      </c>
    </row>
    <row r="126" spans="3:19">
      <c r="C126" s="232"/>
      <c r="D126" s="240"/>
      <c r="E126" s="232"/>
      <c r="F126" s="232"/>
      <c r="G126" s="232"/>
      <c r="H126" s="232"/>
      <c r="I126" s="241"/>
      <c r="J126" s="232"/>
      <c r="K126" s="242"/>
      <c r="L126" s="232"/>
      <c r="M126" s="232"/>
      <c r="N126" s="232"/>
      <c r="O126" s="232"/>
      <c r="P126" s="232"/>
      <c r="Q126" s="242"/>
      <c r="R126" s="412">
        <v>1187983423.1752901</v>
      </c>
      <c r="S126" s="359" t="s">
        <v>38</v>
      </c>
    </row>
    <row r="127" spans="3:19">
      <c r="C127" s="232"/>
      <c r="D127" s="240"/>
      <c r="E127" s="232"/>
      <c r="F127" s="232"/>
      <c r="G127" s="232"/>
      <c r="H127" s="232"/>
      <c r="I127" s="241"/>
      <c r="J127" s="232"/>
      <c r="K127" s="242"/>
      <c r="L127" s="232"/>
      <c r="M127" s="232"/>
      <c r="N127" s="232"/>
      <c r="O127" s="232"/>
      <c r="P127" s="232"/>
      <c r="Q127" s="242"/>
      <c r="R127" s="412">
        <v>1139258524.5219979</v>
      </c>
      <c r="S127" s="367" t="s">
        <v>323</v>
      </c>
    </row>
    <row r="128" spans="3:19" ht="13.5" thickBot="1">
      <c r="C128" s="232"/>
      <c r="D128" s="240"/>
      <c r="E128" s="232"/>
      <c r="F128" s="232"/>
      <c r="G128" s="232"/>
      <c r="H128" s="232"/>
      <c r="I128" s="241"/>
      <c r="J128" s="232"/>
      <c r="K128" s="242"/>
      <c r="L128" s="232"/>
      <c r="M128" s="232"/>
      <c r="N128" s="232"/>
      <c r="O128" s="232"/>
      <c r="P128" s="232"/>
      <c r="Q128" s="242"/>
      <c r="R128" s="413">
        <v>27316908.915958099</v>
      </c>
      <c r="S128" s="369" t="s">
        <v>319</v>
      </c>
    </row>
    <row r="129" spans="3:19">
      <c r="C129" s="232"/>
      <c r="D129" s="240"/>
      <c r="E129" s="232"/>
      <c r="F129" s="232"/>
      <c r="G129" s="232"/>
      <c r="H129" s="232"/>
      <c r="I129" s="241"/>
      <c r="J129" s="232"/>
      <c r="K129" s="242"/>
      <c r="L129" s="232"/>
      <c r="M129" s="232"/>
      <c r="N129" s="232"/>
      <c r="O129" s="232"/>
      <c r="P129" s="232"/>
      <c r="Q129" s="242"/>
      <c r="R129" s="232"/>
      <c r="S129" s="232"/>
    </row>
    <row r="130" spans="3:19">
      <c r="C130" s="232"/>
      <c r="D130" s="240"/>
      <c r="E130" s="232"/>
      <c r="F130" s="232"/>
      <c r="G130" s="232"/>
      <c r="H130" s="232"/>
      <c r="I130" s="241"/>
      <c r="J130" s="232"/>
      <c r="K130" s="242"/>
      <c r="L130" s="232"/>
      <c r="M130" s="232"/>
      <c r="N130" s="232"/>
      <c r="O130" s="232"/>
      <c r="P130" s="232"/>
      <c r="Q130" s="242"/>
      <c r="R130" s="349" t="s">
        <v>116</v>
      </c>
      <c r="S130" s="232" t="s">
        <v>130</v>
      </c>
    </row>
    <row r="131" spans="3:19" ht="13.5" thickBot="1">
      <c r="C131" s="232"/>
      <c r="D131" s="240"/>
      <c r="E131" s="232"/>
      <c r="F131" s="232"/>
      <c r="G131" s="232"/>
      <c r="H131" s="232"/>
      <c r="I131" s="241"/>
      <c r="J131" s="232"/>
      <c r="K131" s="242"/>
      <c r="L131" s="232"/>
      <c r="M131" s="232"/>
      <c r="N131" s="232"/>
      <c r="O131" s="232"/>
      <c r="P131" s="232"/>
      <c r="Q131" s="242"/>
      <c r="R131" s="350" t="s">
        <v>134</v>
      </c>
      <c r="S131" s="232"/>
    </row>
    <row r="132" spans="3:19">
      <c r="C132" s="232"/>
      <c r="D132" s="240"/>
      <c r="E132" s="232"/>
      <c r="F132" s="232"/>
      <c r="G132" s="232"/>
      <c r="H132" s="232"/>
      <c r="I132" s="241"/>
      <c r="J132" s="232"/>
      <c r="K132" s="242"/>
      <c r="L132" s="232"/>
      <c r="M132" s="232"/>
      <c r="N132" s="232"/>
      <c r="O132" s="232"/>
      <c r="P132" s="232"/>
      <c r="Q132" s="242"/>
      <c r="R132" s="370">
        <f>+N17</f>
        <v>7973838.7799099376</v>
      </c>
      <c r="S132" s="148" t="s">
        <v>136</v>
      </c>
    </row>
    <row r="133" spans="3:19">
      <c r="C133" s="232"/>
      <c r="D133" s="240"/>
      <c r="E133" s="232"/>
      <c r="F133" s="232"/>
      <c r="G133" s="232"/>
      <c r="H133" s="232"/>
      <c r="I133" s="241"/>
      <c r="J133" s="232"/>
      <c r="K133" s="242"/>
      <c r="L133" s="232"/>
      <c r="M133" s="232"/>
      <c r="N133" s="232"/>
      <c r="O133" s="232"/>
      <c r="P133" s="232"/>
      <c r="Q133" s="242"/>
      <c r="R133" s="371">
        <f>+O17</f>
        <v>7973838.7799099376</v>
      </c>
      <c r="S133" s="148" t="s">
        <v>137</v>
      </c>
    </row>
    <row r="134" spans="3:19">
      <c r="C134" s="232"/>
      <c r="D134" s="240"/>
      <c r="E134" s="232"/>
      <c r="F134" s="232"/>
      <c r="G134" s="232"/>
      <c r="H134" s="232"/>
      <c r="I134" s="241"/>
      <c r="J134" s="232"/>
      <c r="K134" s="242"/>
      <c r="L134" s="232"/>
      <c r="M134" s="232"/>
      <c r="N134" s="232"/>
      <c r="O134" s="232"/>
      <c r="P134" s="232"/>
      <c r="Q134" s="242"/>
      <c r="R134" s="414">
        <f>+N18</f>
        <v>8608680.5050717462</v>
      </c>
      <c r="S134" s="148" t="s">
        <v>138</v>
      </c>
    </row>
    <row r="135" spans="3:19" ht="13.5" thickBot="1">
      <c r="C135" s="232"/>
      <c r="D135" s="240"/>
      <c r="E135" s="232"/>
      <c r="F135" s="232"/>
      <c r="G135" s="232"/>
      <c r="H135" s="232"/>
      <c r="I135" s="241"/>
      <c r="J135" s="232"/>
      <c r="K135" s="242"/>
      <c r="L135" s="232"/>
      <c r="M135" s="232"/>
      <c r="N135" s="232"/>
      <c r="O135" s="232"/>
      <c r="P135" s="232"/>
      <c r="Q135" s="242"/>
      <c r="R135" s="372">
        <f>+O18</f>
        <v>8608680.5050717462</v>
      </c>
      <c r="S135" s="148" t="s">
        <v>139</v>
      </c>
    </row>
    <row r="136" spans="3:19" ht="12.75" customHeight="1">
      <c r="R136" s="232"/>
      <c r="S136" s="232"/>
    </row>
    <row r="137" spans="3:19" ht="12.75" customHeight="1">
      <c r="R137" s="349" t="s">
        <v>128</v>
      </c>
      <c r="S137" s="233" t="s">
        <v>133</v>
      </c>
    </row>
  </sheetData>
  <mergeCells count="6">
    <mergeCell ref="C8:I8"/>
    <mergeCell ref="A1:K1"/>
    <mergeCell ref="A2:K2"/>
    <mergeCell ref="A3:K3"/>
    <mergeCell ref="A4:K4"/>
    <mergeCell ref="A5:K5"/>
  </mergeCells>
  <phoneticPr fontId="0" type="noConversion"/>
  <printOptions horizontalCentered="1"/>
  <pageMargins left="0.25" right="0.25" top="0.75" bottom="0.25" header="0.25" footer="0.5"/>
  <pageSetup scale="41" fitToHeight="5" orientation="landscape" horizontalDpi="1200" verticalDpi="1200" r:id="rId1"/>
  <headerFooter alignWithMargins="0">
    <oddHeader xml:space="preserve">&amp;R&amp;16AEP - SPP Formula Rate
PSO TCOS - WS G
Page: &amp;P of &amp;N
</oddHeader>
    <oddFooter xml:space="preserve">&amp;C &amp;R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5" zoomScaleNormal="85" workbookViewId="0">
      <selection activeCell="G18" sqref="G18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27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635766.39004328649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635766.39004328649</v>
      </c>
      <c r="O6" s="232"/>
      <c r="P6" s="232"/>
    </row>
    <row r="7" spans="1:16" ht="13.5" thickBot="1">
      <c r="C7" s="431" t="s">
        <v>46</v>
      </c>
      <c r="D7" s="619" t="s">
        <v>333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335</v>
      </c>
      <c r="E9" s="623" t="s">
        <v>337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5058589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2019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3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120442.59523809524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2019</v>
      </c>
      <c r="D17" s="584">
        <v>0</v>
      </c>
      <c r="E17" s="585">
        <v>0</v>
      </c>
      <c r="F17" s="584">
        <v>4120000</v>
      </c>
      <c r="G17" s="585">
        <v>230012.66047295602</v>
      </c>
      <c r="H17" s="587">
        <v>230012.66047295602</v>
      </c>
      <c r="I17" s="475">
        <f>H17-G17</f>
        <v>0</v>
      </c>
      <c r="J17" s="475"/>
      <c r="K17" s="554">
        <f>+G17</f>
        <v>230012.66047295602</v>
      </c>
      <c r="L17" s="477">
        <f t="shared" ref="L17:L18" si="0">IF(K17&lt;&gt;0,+G17-K17,0)</f>
        <v>0</v>
      </c>
      <c r="M17" s="554">
        <f>+H17</f>
        <v>230012.66047295602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2020</v>
      </c>
      <c r="D18" s="584">
        <v>4236000</v>
      </c>
      <c r="E18" s="585">
        <v>100857.14285714286</v>
      </c>
      <c r="F18" s="584">
        <v>4135142.8571428573</v>
      </c>
      <c r="G18" s="585">
        <v>552918.85124067403</v>
      </c>
      <c r="H18" s="587">
        <v>552918.85124067403</v>
      </c>
      <c r="I18" s="475">
        <f>H18-G18</f>
        <v>0</v>
      </c>
      <c r="J18" s="475"/>
      <c r="K18" s="478">
        <f>+G18</f>
        <v>552918.85124067403</v>
      </c>
      <c r="L18" s="478">
        <f t="shared" si="0"/>
        <v>0</v>
      </c>
      <c r="M18" s="478">
        <f>+H18</f>
        <v>552918.85124067403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2021</v>
      </c>
      <c r="D19" s="584">
        <v>4957664.8571428573</v>
      </c>
      <c r="E19" s="585">
        <v>117640.04651162791</v>
      </c>
      <c r="F19" s="584">
        <v>4840024.8106312295</v>
      </c>
      <c r="G19" s="585">
        <v>645841.5888943586</v>
      </c>
      <c r="H19" s="587">
        <v>645841.5888943586</v>
      </c>
      <c r="I19" s="475">
        <f t="shared" ref="I19:I71" si="3">H19-G19</f>
        <v>0</v>
      </c>
      <c r="J19" s="475"/>
      <c r="K19" s="478">
        <f>+G19</f>
        <v>645841.5888943586</v>
      </c>
      <c r="L19" s="478">
        <f t="shared" ref="L19" si="4">IF(K19&lt;&gt;0,+G19-K19,0)</f>
        <v>0</v>
      </c>
      <c r="M19" s="478">
        <f>+H19</f>
        <v>645841.5888943586</v>
      </c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5">IF(D20=F19,"","IU")</f>
        <v>IU</v>
      </c>
      <c r="C20" s="472">
        <f>IF(D11="","-",+C19+1)</f>
        <v>2022</v>
      </c>
      <c r="D20" s="483">
        <f>IF(F19+SUM(E$17:E19)=D$10,F19,D$10-SUM(E$17:E19))</f>
        <v>4840091.8106312295</v>
      </c>
      <c r="E20" s="484">
        <f t="shared" ref="E20:E71" si="6">IF(+I$14&lt;F19,I$14,D20)</f>
        <v>120442.59523809524</v>
      </c>
      <c r="F20" s="485">
        <f t="shared" ref="F20:F71" si="7">+D20-E20</f>
        <v>4719649.2153931344</v>
      </c>
      <c r="G20" s="486">
        <f t="shared" ref="G20:G71" si="8">(D20+F20)/2*I$12+E20</f>
        <v>635766.39004328649</v>
      </c>
      <c r="H20" s="455">
        <f t="shared" ref="H20:H71" si="9">+(D20+F20)/2*I$13+E20</f>
        <v>635766.39004328649</v>
      </c>
      <c r="I20" s="475">
        <f t="shared" si="3"/>
        <v>0</v>
      </c>
      <c r="J20" s="475"/>
      <c r="K20" s="487"/>
      <c r="L20" s="478">
        <f t="shared" ref="L20:L72" si="10">IF(K20&lt;&gt;0,+G20-K20,0)</f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5"/>
        <v/>
      </c>
      <c r="C21" s="472">
        <f>IF(D11="","-",+C20+1)</f>
        <v>2023</v>
      </c>
      <c r="D21" s="483">
        <f>IF(F20+SUM(E$17:E20)=D$10,F20,D$10-SUM(E$17:E20))</f>
        <v>4719649.2153931344</v>
      </c>
      <c r="E21" s="484">
        <f t="shared" si="6"/>
        <v>120442.59523809524</v>
      </c>
      <c r="F21" s="485">
        <f t="shared" si="7"/>
        <v>4599206.6201550392</v>
      </c>
      <c r="G21" s="486">
        <f t="shared" si="8"/>
        <v>622781.32380240888</v>
      </c>
      <c r="H21" s="455">
        <f t="shared" si="9"/>
        <v>622781.32380240888</v>
      </c>
      <c r="I21" s="475">
        <f t="shared" si="3"/>
        <v>0</v>
      </c>
      <c r="J21" s="475"/>
      <c r="K21" s="487"/>
      <c r="L21" s="478">
        <f t="shared" si="1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5"/>
        <v/>
      </c>
      <c r="C22" s="472">
        <f>IF(D11="","-",+C21+1)</f>
        <v>2024</v>
      </c>
      <c r="D22" s="483">
        <f>IF(F21+SUM(E$17:E21)=D$10,F21,D$10-SUM(E$17:E21))</f>
        <v>4599206.6201550392</v>
      </c>
      <c r="E22" s="484">
        <f t="shared" si="6"/>
        <v>120442.59523809524</v>
      </c>
      <c r="F22" s="485">
        <f t="shared" si="7"/>
        <v>4478764.0249169441</v>
      </c>
      <c r="G22" s="486">
        <f t="shared" si="8"/>
        <v>609796.25756153127</v>
      </c>
      <c r="H22" s="455">
        <f t="shared" si="9"/>
        <v>609796.25756153127</v>
      </c>
      <c r="I22" s="475">
        <f t="shared" si="3"/>
        <v>0</v>
      </c>
      <c r="J22" s="475"/>
      <c r="K22" s="487"/>
      <c r="L22" s="478">
        <f t="shared" si="1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5"/>
        <v/>
      </c>
      <c r="C23" s="472">
        <f>IF(D11="","-",+C22+1)</f>
        <v>2025</v>
      </c>
      <c r="D23" s="483">
        <f>IF(F22+SUM(E$17:E22)=D$10,F22,D$10-SUM(E$17:E22))</f>
        <v>4478764.0249169441</v>
      </c>
      <c r="E23" s="484">
        <f t="shared" si="6"/>
        <v>120442.59523809524</v>
      </c>
      <c r="F23" s="485">
        <f t="shared" si="7"/>
        <v>4358321.4296788489</v>
      </c>
      <c r="G23" s="486">
        <f t="shared" si="8"/>
        <v>596811.19132065366</v>
      </c>
      <c r="H23" s="455">
        <f t="shared" si="9"/>
        <v>596811.19132065366</v>
      </c>
      <c r="I23" s="475">
        <f t="shared" si="3"/>
        <v>0</v>
      </c>
      <c r="J23" s="475"/>
      <c r="K23" s="487"/>
      <c r="L23" s="478">
        <f t="shared" si="1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5"/>
        <v/>
      </c>
      <c r="C24" s="472">
        <f>IF(D11="","-",+C23+1)</f>
        <v>2026</v>
      </c>
      <c r="D24" s="483">
        <f>IF(F23+SUM(E$17:E23)=D$10,F23,D$10-SUM(E$17:E23))</f>
        <v>4358321.4296788489</v>
      </c>
      <c r="E24" s="484">
        <f t="shared" si="6"/>
        <v>120442.59523809524</v>
      </c>
      <c r="F24" s="485">
        <f t="shared" si="7"/>
        <v>4237878.8344407538</v>
      </c>
      <c r="G24" s="486">
        <f t="shared" si="8"/>
        <v>583826.12507977604</v>
      </c>
      <c r="H24" s="455">
        <f t="shared" si="9"/>
        <v>583826.12507977604</v>
      </c>
      <c r="I24" s="475">
        <f t="shared" si="3"/>
        <v>0</v>
      </c>
      <c r="J24" s="475"/>
      <c r="K24" s="487"/>
      <c r="L24" s="478">
        <f t="shared" si="1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5"/>
        <v/>
      </c>
      <c r="C25" s="472">
        <f>IF(D11="","-",+C24+1)</f>
        <v>2027</v>
      </c>
      <c r="D25" s="483">
        <f>IF(F24+SUM(E$17:E24)=D$10,F24,D$10-SUM(E$17:E24))</f>
        <v>4237878.8344407538</v>
      </c>
      <c r="E25" s="484">
        <f t="shared" si="6"/>
        <v>120442.59523809524</v>
      </c>
      <c r="F25" s="485">
        <f t="shared" si="7"/>
        <v>4117436.2392026586</v>
      </c>
      <c r="G25" s="486">
        <f t="shared" si="8"/>
        <v>570841.05883889843</v>
      </c>
      <c r="H25" s="455">
        <f t="shared" si="9"/>
        <v>570841.05883889843</v>
      </c>
      <c r="I25" s="475">
        <f t="shared" si="3"/>
        <v>0</v>
      </c>
      <c r="J25" s="475"/>
      <c r="K25" s="487"/>
      <c r="L25" s="478">
        <f t="shared" si="1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5"/>
        <v/>
      </c>
      <c r="C26" s="472">
        <f>IF(D11="","-",+C25+1)</f>
        <v>2028</v>
      </c>
      <c r="D26" s="483">
        <f>IF(F25+SUM(E$17:E25)=D$10,F25,D$10-SUM(E$17:E25))</f>
        <v>4117436.2392026586</v>
      </c>
      <c r="E26" s="484">
        <f t="shared" si="6"/>
        <v>120442.59523809524</v>
      </c>
      <c r="F26" s="485">
        <f t="shared" si="7"/>
        <v>3996993.6439645635</v>
      </c>
      <c r="G26" s="486">
        <f t="shared" si="8"/>
        <v>557855.99259802082</v>
      </c>
      <c r="H26" s="455">
        <f t="shared" si="9"/>
        <v>557855.99259802082</v>
      </c>
      <c r="I26" s="475">
        <f t="shared" si="3"/>
        <v>0</v>
      </c>
      <c r="J26" s="475"/>
      <c r="K26" s="487"/>
      <c r="L26" s="478">
        <f t="shared" si="1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5"/>
        <v/>
      </c>
      <c r="C27" s="472">
        <f>IF(D11="","-",+C26+1)</f>
        <v>2029</v>
      </c>
      <c r="D27" s="483">
        <f>IF(F26+SUM(E$17:E26)=D$10,F26,D$10-SUM(E$17:E26))</f>
        <v>3996993.6439645635</v>
      </c>
      <c r="E27" s="484">
        <f t="shared" si="6"/>
        <v>120442.59523809524</v>
      </c>
      <c r="F27" s="485">
        <f t="shared" si="7"/>
        <v>3876551.0487264683</v>
      </c>
      <c r="G27" s="486">
        <f t="shared" si="8"/>
        <v>544870.92635714321</v>
      </c>
      <c r="H27" s="455">
        <f t="shared" si="9"/>
        <v>544870.92635714321</v>
      </c>
      <c r="I27" s="475">
        <f t="shared" si="3"/>
        <v>0</v>
      </c>
      <c r="J27" s="475"/>
      <c r="K27" s="487"/>
      <c r="L27" s="478">
        <f t="shared" si="1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5"/>
        <v/>
      </c>
      <c r="C28" s="472">
        <f>IF(D11="","-",+C27+1)</f>
        <v>2030</v>
      </c>
      <c r="D28" s="483">
        <f>IF(F27+SUM(E$17:E27)=D$10,F27,D$10-SUM(E$17:E27))</f>
        <v>3876551.0487264683</v>
      </c>
      <c r="E28" s="484">
        <f t="shared" si="6"/>
        <v>120442.59523809524</v>
      </c>
      <c r="F28" s="485">
        <f t="shared" si="7"/>
        <v>3756108.4534883732</v>
      </c>
      <c r="G28" s="486">
        <f t="shared" si="8"/>
        <v>531885.8601162656</v>
      </c>
      <c r="H28" s="455">
        <f t="shared" si="9"/>
        <v>531885.8601162656</v>
      </c>
      <c r="I28" s="475">
        <f t="shared" si="3"/>
        <v>0</v>
      </c>
      <c r="J28" s="475"/>
      <c r="K28" s="487"/>
      <c r="L28" s="478">
        <f t="shared" si="1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5"/>
        <v/>
      </c>
      <c r="C29" s="472">
        <f>IF(D11="","-",+C28+1)</f>
        <v>2031</v>
      </c>
      <c r="D29" s="483">
        <f>IF(F28+SUM(E$17:E28)=D$10,F28,D$10-SUM(E$17:E28))</f>
        <v>3756108.4534883732</v>
      </c>
      <c r="E29" s="484">
        <f t="shared" si="6"/>
        <v>120442.59523809524</v>
      </c>
      <c r="F29" s="485">
        <f t="shared" si="7"/>
        <v>3635665.858250278</v>
      </c>
      <c r="G29" s="486">
        <f t="shared" si="8"/>
        <v>518900.79387538787</v>
      </c>
      <c r="H29" s="455">
        <f t="shared" si="9"/>
        <v>518900.79387538787</v>
      </c>
      <c r="I29" s="475">
        <f t="shared" si="3"/>
        <v>0</v>
      </c>
      <c r="J29" s="475"/>
      <c r="K29" s="487"/>
      <c r="L29" s="478">
        <f t="shared" si="1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5"/>
        <v/>
      </c>
      <c r="C30" s="472">
        <f>IF(D11="","-",+C29+1)</f>
        <v>2032</v>
      </c>
      <c r="D30" s="483">
        <f>IF(F29+SUM(E$17:E29)=D$10,F29,D$10-SUM(E$17:E29))</f>
        <v>3635665.858250278</v>
      </c>
      <c r="E30" s="484">
        <f t="shared" si="6"/>
        <v>120442.59523809524</v>
      </c>
      <c r="F30" s="485">
        <f t="shared" si="7"/>
        <v>3515223.2630121829</v>
      </c>
      <c r="G30" s="486">
        <f t="shared" si="8"/>
        <v>505915.72763451026</v>
      </c>
      <c r="H30" s="455">
        <f t="shared" si="9"/>
        <v>505915.72763451026</v>
      </c>
      <c r="I30" s="475">
        <f t="shared" si="3"/>
        <v>0</v>
      </c>
      <c r="J30" s="475"/>
      <c r="K30" s="487"/>
      <c r="L30" s="478">
        <f t="shared" si="1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5"/>
        <v/>
      </c>
      <c r="C31" s="472">
        <f>IF(D11="","-",+C30+1)</f>
        <v>2033</v>
      </c>
      <c r="D31" s="483">
        <f>IF(F30+SUM(E$17:E30)=D$10,F30,D$10-SUM(E$17:E30))</f>
        <v>3515223.2630121829</v>
      </c>
      <c r="E31" s="484">
        <f t="shared" si="6"/>
        <v>120442.59523809524</v>
      </c>
      <c r="F31" s="485">
        <f t="shared" si="7"/>
        <v>3394780.6677740877</v>
      </c>
      <c r="G31" s="486">
        <f t="shared" si="8"/>
        <v>492930.66139363265</v>
      </c>
      <c r="H31" s="455">
        <f t="shared" si="9"/>
        <v>492930.66139363265</v>
      </c>
      <c r="I31" s="475">
        <f t="shared" si="3"/>
        <v>0</v>
      </c>
      <c r="J31" s="475"/>
      <c r="K31" s="487"/>
      <c r="L31" s="478">
        <f t="shared" si="1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5"/>
        <v/>
      </c>
      <c r="C32" s="472">
        <f>IF(D11="","-",+C31+1)</f>
        <v>2034</v>
      </c>
      <c r="D32" s="483">
        <f>IF(F31+SUM(E$17:E31)=D$10,F31,D$10-SUM(E$17:E31))</f>
        <v>3394780.6677740877</v>
      </c>
      <c r="E32" s="484">
        <f t="shared" si="6"/>
        <v>120442.59523809524</v>
      </c>
      <c r="F32" s="485">
        <f t="shared" si="7"/>
        <v>3274338.0725359926</v>
      </c>
      <c r="G32" s="486">
        <f t="shared" si="8"/>
        <v>479945.59515275504</v>
      </c>
      <c r="H32" s="455">
        <f t="shared" si="9"/>
        <v>479945.59515275504</v>
      </c>
      <c r="I32" s="475">
        <f t="shared" si="3"/>
        <v>0</v>
      </c>
      <c r="J32" s="475"/>
      <c r="K32" s="487"/>
      <c r="L32" s="478">
        <f t="shared" si="1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5"/>
        <v/>
      </c>
      <c r="C33" s="472">
        <f>IF(D11="","-",+C32+1)</f>
        <v>2035</v>
      </c>
      <c r="D33" s="483">
        <f>IF(F32+SUM(E$17:E32)=D$10,F32,D$10-SUM(E$17:E32))</f>
        <v>3274338.0725359926</v>
      </c>
      <c r="E33" s="484">
        <f t="shared" si="6"/>
        <v>120442.59523809524</v>
      </c>
      <c r="F33" s="485">
        <f t="shared" si="7"/>
        <v>3153895.4772978975</v>
      </c>
      <c r="G33" s="486">
        <f t="shared" si="8"/>
        <v>466960.52891187742</v>
      </c>
      <c r="H33" s="455">
        <f t="shared" si="9"/>
        <v>466960.52891187742</v>
      </c>
      <c r="I33" s="475">
        <f t="shared" si="3"/>
        <v>0</v>
      </c>
      <c r="J33" s="475"/>
      <c r="K33" s="487"/>
      <c r="L33" s="478">
        <f t="shared" si="1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5"/>
        <v/>
      </c>
      <c r="C34" s="472">
        <f>IF(D11="","-",+C33+1)</f>
        <v>2036</v>
      </c>
      <c r="D34" s="483">
        <f>IF(F33+SUM(E$17:E33)=D$10,F33,D$10-SUM(E$17:E33))</f>
        <v>3153895.4772978975</v>
      </c>
      <c r="E34" s="484">
        <f t="shared" si="6"/>
        <v>120442.59523809524</v>
      </c>
      <c r="F34" s="485">
        <f t="shared" si="7"/>
        <v>3033452.8820598023</v>
      </c>
      <c r="G34" s="486">
        <f t="shared" si="8"/>
        <v>453975.46267099981</v>
      </c>
      <c r="H34" s="455">
        <f t="shared" si="9"/>
        <v>453975.46267099981</v>
      </c>
      <c r="I34" s="475">
        <f t="shared" si="3"/>
        <v>0</v>
      </c>
      <c r="J34" s="475"/>
      <c r="K34" s="487"/>
      <c r="L34" s="478">
        <f t="shared" si="1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5"/>
        <v/>
      </c>
      <c r="C35" s="472">
        <f>IF(D11="","-",+C34+1)</f>
        <v>2037</v>
      </c>
      <c r="D35" s="483">
        <f>IF(F34+SUM(E$17:E34)=D$10,F34,D$10-SUM(E$17:E34))</f>
        <v>3033452.8820598023</v>
      </c>
      <c r="E35" s="484">
        <f t="shared" si="6"/>
        <v>120442.59523809524</v>
      </c>
      <c r="F35" s="485">
        <f t="shared" si="7"/>
        <v>2913010.2868217072</v>
      </c>
      <c r="G35" s="486">
        <f t="shared" si="8"/>
        <v>440990.3964301222</v>
      </c>
      <c r="H35" s="455">
        <f t="shared" si="9"/>
        <v>440990.3964301222</v>
      </c>
      <c r="I35" s="475">
        <f t="shared" si="3"/>
        <v>0</v>
      </c>
      <c r="J35" s="475"/>
      <c r="K35" s="487"/>
      <c r="L35" s="478">
        <f t="shared" si="1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5"/>
        <v/>
      </c>
      <c r="C36" s="472">
        <f>IF(D11="","-",+C35+1)</f>
        <v>2038</v>
      </c>
      <c r="D36" s="483">
        <f>IF(F35+SUM(E$17:E35)=D$10,F35,D$10-SUM(E$17:E35))</f>
        <v>2913010.2868217072</v>
      </c>
      <c r="E36" s="484">
        <f t="shared" si="6"/>
        <v>120442.59523809524</v>
      </c>
      <c r="F36" s="485">
        <f t="shared" si="7"/>
        <v>2792567.691583612</v>
      </c>
      <c r="G36" s="486">
        <f t="shared" si="8"/>
        <v>428005.33018924459</v>
      </c>
      <c r="H36" s="455">
        <f t="shared" si="9"/>
        <v>428005.33018924459</v>
      </c>
      <c r="I36" s="475">
        <f t="shared" si="3"/>
        <v>0</v>
      </c>
      <c r="J36" s="475"/>
      <c r="K36" s="487"/>
      <c r="L36" s="478">
        <f t="shared" si="1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5"/>
        <v/>
      </c>
      <c r="C37" s="472">
        <f>IF(D11="","-",+C36+1)</f>
        <v>2039</v>
      </c>
      <c r="D37" s="483">
        <f>IF(F36+SUM(E$17:E36)=D$10,F36,D$10-SUM(E$17:E36))</f>
        <v>2792567.691583612</v>
      </c>
      <c r="E37" s="484">
        <f t="shared" si="6"/>
        <v>120442.59523809524</v>
      </c>
      <c r="F37" s="485">
        <f t="shared" si="7"/>
        <v>2672125.0963455169</v>
      </c>
      <c r="G37" s="486">
        <f t="shared" si="8"/>
        <v>415020.26394836698</v>
      </c>
      <c r="H37" s="455">
        <f t="shared" si="9"/>
        <v>415020.26394836698</v>
      </c>
      <c r="I37" s="475">
        <f t="shared" si="3"/>
        <v>0</v>
      </c>
      <c r="J37" s="475"/>
      <c r="K37" s="487"/>
      <c r="L37" s="478">
        <f t="shared" si="1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5"/>
        <v/>
      </c>
      <c r="C38" s="472">
        <f>IF(D11="","-",+C37+1)</f>
        <v>2040</v>
      </c>
      <c r="D38" s="483">
        <f>IF(F37+SUM(E$17:E37)=D$10,F37,D$10-SUM(E$17:E37))</f>
        <v>2672125.0963455169</v>
      </c>
      <c r="E38" s="484">
        <f t="shared" si="6"/>
        <v>120442.59523809524</v>
      </c>
      <c r="F38" s="485">
        <f t="shared" si="7"/>
        <v>2551682.5011074217</v>
      </c>
      <c r="G38" s="486">
        <f t="shared" si="8"/>
        <v>402035.19770748937</v>
      </c>
      <c r="H38" s="455">
        <f t="shared" si="9"/>
        <v>402035.19770748937</v>
      </c>
      <c r="I38" s="475">
        <f t="shared" si="3"/>
        <v>0</v>
      </c>
      <c r="J38" s="475"/>
      <c r="K38" s="487"/>
      <c r="L38" s="478">
        <f t="shared" si="1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5"/>
        <v/>
      </c>
      <c r="C39" s="472">
        <f>IF(D11="","-",+C38+1)</f>
        <v>2041</v>
      </c>
      <c r="D39" s="483">
        <f>IF(F38+SUM(E$17:E38)=D$10,F38,D$10-SUM(E$17:E38))</f>
        <v>2551682.5011074217</v>
      </c>
      <c r="E39" s="484">
        <f t="shared" si="6"/>
        <v>120442.59523809524</v>
      </c>
      <c r="F39" s="485">
        <f t="shared" si="7"/>
        <v>2431239.9058693266</v>
      </c>
      <c r="G39" s="486">
        <f t="shared" si="8"/>
        <v>389050.13146661175</v>
      </c>
      <c r="H39" s="455">
        <f t="shared" si="9"/>
        <v>389050.13146661175</v>
      </c>
      <c r="I39" s="475">
        <f t="shared" si="3"/>
        <v>0</v>
      </c>
      <c r="J39" s="475"/>
      <c r="K39" s="487"/>
      <c r="L39" s="478">
        <f t="shared" si="1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5"/>
        <v/>
      </c>
      <c r="C40" s="472">
        <f>IF(D11="","-",+C39+1)</f>
        <v>2042</v>
      </c>
      <c r="D40" s="483">
        <f>IF(F39+SUM(E$17:E39)=D$10,F39,D$10-SUM(E$17:E39))</f>
        <v>2431239.9058693266</v>
      </c>
      <c r="E40" s="484">
        <f t="shared" si="6"/>
        <v>120442.59523809524</v>
      </c>
      <c r="F40" s="485">
        <f t="shared" si="7"/>
        <v>2310797.3106312314</v>
      </c>
      <c r="G40" s="486">
        <f t="shared" si="8"/>
        <v>376065.06522573414</v>
      </c>
      <c r="H40" s="455">
        <f t="shared" si="9"/>
        <v>376065.06522573414</v>
      </c>
      <c r="I40" s="475">
        <f t="shared" si="3"/>
        <v>0</v>
      </c>
      <c r="J40" s="475"/>
      <c r="K40" s="487"/>
      <c r="L40" s="478">
        <f t="shared" si="1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5"/>
        <v/>
      </c>
      <c r="C41" s="472">
        <f>IF(D11="","-",+C40+1)</f>
        <v>2043</v>
      </c>
      <c r="D41" s="483">
        <f>IF(F40+SUM(E$17:E40)=D$10,F40,D$10-SUM(E$17:E40))</f>
        <v>2310797.3106312314</v>
      </c>
      <c r="E41" s="484">
        <f t="shared" si="6"/>
        <v>120442.59523809524</v>
      </c>
      <c r="F41" s="485">
        <f t="shared" si="7"/>
        <v>2190354.7153931363</v>
      </c>
      <c r="G41" s="486">
        <f t="shared" si="8"/>
        <v>363079.99898485653</v>
      </c>
      <c r="H41" s="455">
        <f t="shared" si="9"/>
        <v>363079.99898485653</v>
      </c>
      <c r="I41" s="475">
        <f t="shared" si="3"/>
        <v>0</v>
      </c>
      <c r="J41" s="475"/>
      <c r="K41" s="487"/>
      <c r="L41" s="478">
        <f t="shared" si="1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5"/>
        <v/>
      </c>
      <c r="C42" s="472">
        <f>IF(D11="","-",+C41+1)</f>
        <v>2044</v>
      </c>
      <c r="D42" s="483">
        <f>IF(F41+SUM(E$17:E41)=D$10,F41,D$10-SUM(E$17:E41))</f>
        <v>2190354.7153931363</v>
      </c>
      <c r="E42" s="484">
        <f t="shared" si="6"/>
        <v>120442.59523809524</v>
      </c>
      <c r="F42" s="485">
        <f t="shared" si="7"/>
        <v>2069912.1201550411</v>
      </c>
      <c r="G42" s="486">
        <f t="shared" si="8"/>
        <v>350094.93274397892</v>
      </c>
      <c r="H42" s="455">
        <f t="shared" si="9"/>
        <v>350094.93274397892</v>
      </c>
      <c r="I42" s="475">
        <f t="shared" si="3"/>
        <v>0</v>
      </c>
      <c r="J42" s="475"/>
      <c r="K42" s="487"/>
      <c r="L42" s="478">
        <f t="shared" si="1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5"/>
        <v/>
      </c>
      <c r="C43" s="472">
        <f>IF(D11="","-",+C42+1)</f>
        <v>2045</v>
      </c>
      <c r="D43" s="483">
        <f>IF(F42+SUM(E$17:E42)=D$10,F42,D$10-SUM(E$17:E42))</f>
        <v>2069912.1201550411</v>
      </c>
      <c r="E43" s="484">
        <f t="shared" si="6"/>
        <v>120442.59523809524</v>
      </c>
      <c r="F43" s="485">
        <f t="shared" si="7"/>
        <v>1949469.524916946</v>
      </c>
      <c r="G43" s="486">
        <f t="shared" si="8"/>
        <v>337109.86650310131</v>
      </c>
      <c r="H43" s="455">
        <f t="shared" si="9"/>
        <v>337109.86650310131</v>
      </c>
      <c r="I43" s="475">
        <f t="shared" si="3"/>
        <v>0</v>
      </c>
      <c r="J43" s="475"/>
      <c r="K43" s="487"/>
      <c r="L43" s="478">
        <f t="shared" si="1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5"/>
        <v/>
      </c>
      <c r="C44" s="472">
        <f>IF(D11="","-",+C43+1)</f>
        <v>2046</v>
      </c>
      <c r="D44" s="483">
        <f>IF(F43+SUM(E$17:E43)=D$10,F43,D$10-SUM(E$17:E43))</f>
        <v>1949469.524916946</v>
      </c>
      <c r="E44" s="484">
        <f t="shared" si="6"/>
        <v>120442.59523809524</v>
      </c>
      <c r="F44" s="485">
        <f t="shared" si="7"/>
        <v>1829026.9296788508</v>
      </c>
      <c r="G44" s="486">
        <f t="shared" si="8"/>
        <v>324124.8002622237</v>
      </c>
      <c r="H44" s="455">
        <f t="shared" si="9"/>
        <v>324124.8002622237</v>
      </c>
      <c r="I44" s="475">
        <f t="shared" si="3"/>
        <v>0</v>
      </c>
      <c r="J44" s="475"/>
      <c r="K44" s="487"/>
      <c r="L44" s="478">
        <f t="shared" si="1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5"/>
        <v/>
      </c>
      <c r="C45" s="472">
        <f>IF(D11="","-",+C44+1)</f>
        <v>2047</v>
      </c>
      <c r="D45" s="483">
        <f>IF(F44+SUM(E$17:E44)=D$10,F44,D$10-SUM(E$17:E44))</f>
        <v>1829026.9296788508</v>
      </c>
      <c r="E45" s="484">
        <f t="shared" si="6"/>
        <v>120442.59523809524</v>
      </c>
      <c r="F45" s="485">
        <f t="shared" si="7"/>
        <v>1708584.3344407557</v>
      </c>
      <c r="G45" s="486">
        <f t="shared" si="8"/>
        <v>311139.73402134608</v>
      </c>
      <c r="H45" s="455">
        <f t="shared" si="9"/>
        <v>311139.73402134608</v>
      </c>
      <c r="I45" s="475">
        <f t="shared" si="3"/>
        <v>0</v>
      </c>
      <c r="J45" s="475"/>
      <c r="K45" s="487"/>
      <c r="L45" s="478">
        <f t="shared" si="1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5"/>
        <v/>
      </c>
      <c r="C46" s="472">
        <f>IF(D11="","-",+C45+1)</f>
        <v>2048</v>
      </c>
      <c r="D46" s="483">
        <f>IF(F45+SUM(E$17:E45)=D$10,F45,D$10-SUM(E$17:E45))</f>
        <v>1708584.3344407557</v>
      </c>
      <c r="E46" s="484">
        <f t="shared" si="6"/>
        <v>120442.59523809524</v>
      </c>
      <c r="F46" s="485">
        <f t="shared" si="7"/>
        <v>1588141.7392026605</v>
      </c>
      <c r="G46" s="486">
        <f t="shared" si="8"/>
        <v>298154.66778046847</v>
      </c>
      <c r="H46" s="455">
        <f t="shared" si="9"/>
        <v>298154.66778046847</v>
      </c>
      <c r="I46" s="475">
        <f t="shared" si="3"/>
        <v>0</v>
      </c>
      <c r="J46" s="475"/>
      <c r="K46" s="487"/>
      <c r="L46" s="478">
        <f t="shared" si="1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5"/>
        <v/>
      </c>
      <c r="C47" s="472">
        <f>IF(D11="","-",+C46+1)</f>
        <v>2049</v>
      </c>
      <c r="D47" s="483">
        <f>IF(F46+SUM(E$17:E46)=D$10,F46,D$10-SUM(E$17:E46))</f>
        <v>1588141.7392026605</v>
      </c>
      <c r="E47" s="484">
        <f t="shared" si="6"/>
        <v>120442.59523809524</v>
      </c>
      <c r="F47" s="485">
        <f t="shared" si="7"/>
        <v>1467699.1439645654</v>
      </c>
      <c r="G47" s="486">
        <f t="shared" si="8"/>
        <v>285169.60153959086</v>
      </c>
      <c r="H47" s="455">
        <f t="shared" si="9"/>
        <v>285169.60153959086</v>
      </c>
      <c r="I47" s="475">
        <f t="shared" si="3"/>
        <v>0</v>
      </c>
      <c r="J47" s="475"/>
      <c r="K47" s="487"/>
      <c r="L47" s="478">
        <f t="shared" si="1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5"/>
        <v/>
      </c>
      <c r="C48" s="472">
        <f>IF(D11="","-",+C47+1)</f>
        <v>2050</v>
      </c>
      <c r="D48" s="483">
        <f>IF(F47+SUM(E$17:E47)=D$10,F47,D$10-SUM(E$17:E47))</f>
        <v>1467699.1439645654</v>
      </c>
      <c r="E48" s="484">
        <f t="shared" si="6"/>
        <v>120442.59523809524</v>
      </c>
      <c r="F48" s="485">
        <f t="shared" si="7"/>
        <v>1347256.5487264702</v>
      </c>
      <c r="G48" s="486">
        <f t="shared" si="8"/>
        <v>272184.53529871325</v>
      </c>
      <c r="H48" s="455">
        <f t="shared" si="9"/>
        <v>272184.53529871325</v>
      </c>
      <c r="I48" s="475">
        <f t="shared" si="3"/>
        <v>0</v>
      </c>
      <c r="J48" s="475"/>
      <c r="K48" s="487"/>
      <c r="L48" s="478">
        <f t="shared" si="1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5"/>
        <v/>
      </c>
      <c r="C49" s="472">
        <f>IF(D11="","-",+C48+1)</f>
        <v>2051</v>
      </c>
      <c r="D49" s="483">
        <f>IF(F48+SUM(E$17:E48)=D$10,F48,D$10-SUM(E$17:E48))</f>
        <v>1347256.5487264702</v>
      </c>
      <c r="E49" s="484">
        <f t="shared" si="6"/>
        <v>120442.59523809524</v>
      </c>
      <c r="F49" s="485">
        <f t="shared" si="7"/>
        <v>1226813.9534883751</v>
      </c>
      <c r="G49" s="486">
        <f t="shared" si="8"/>
        <v>259199.46905783564</v>
      </c>
      <c r="H49" s="455">
        <f t="shared" si="9"/>
        <v>259199.46905783564</v>
      </c>
      <c r="I49" s="475">
        <f t="shared" si="3"/>
        <v>0</v>
      </c>
      <c r="J49" s="475"/>
      <c r="K49" s="487"/>
      <c r="L49" s="478">
        <f t="shared" si="1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5"/>
        <v/>
      </c>
      <c r="C50" s="472">
        <f>IF(D11="","-",+C49+1)</f>
        <v>2052</v>
      </c>
      <c r="D50" s="483">
        <f>IF(F49+SUM(E$17:E49)=D$10,F49,D$10-SUM(E$17:E49))</f>
        <v>1226813.9534883751</v>
      </c>
      <c r="E50" s="484">
        <f t="shared" si="6"/>
        <v>120442.59523809524</v>
      </c>
      <c r="F50" s="485">
        <f t="shared" si="7"/>
        <v>1106371.3582502799</v>
      </c>
      <c r="G50" s="486">
        <f t="shared" si="8"/>
        <v>246214.40281695803</v>
      </c>
      <c r="H50" s="455">
        <f t="shared" si="9"/>
        <v>246214.40281695803</v>
      </c>
      <c r="I50" s="475">
        <f t="shared" si="3"/>
        <v>0</v>
      </c>
      <c r="J50" s="475"/>
      <c r="K50" s="487"/>
      <c r="L50" s="478">
        <f t="shared" si="1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5"/>
        <v/>
      </c>
      <c r="C51" s="472">
        <f>IF(D11="","-",+C50+1)</f>
        <v>2053</v>
      </c>
      <c r="D51" s="483">
        <f>IF(F50+SUM(E$17:E50)=D$10,F50,D$10-SUM(E$17:E50))</f>
        <v>1106371.3582502799</v>
      </c>
      <c r="E51" s="484">
        <f t="shared" si="6"/>
        <v>120442.59523809524</v>
      </c>
      <c r="F51" s="485">
        <f t="shared" si="7"/>
        <v>985928.76301218465</v>
      </c>
      <c r="G51" s="486">
        <f t="shared" si="8"/>
        <v>233229.33657608042</v>
      </c>
      <c r="H51" s="455">
        <f t="shared" si="9"/>
        <v>233229.33657608042</v>
      </c>
      <c r="I51" s="475">
        <f t="shared" si="3"/>
        <v>0</v>
      </c>
      <c r="J51" s="475"/>
      <c r="K51" s="487"/>
      <c r="L51" s="478">
        <f t="shared" si="1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5"/>
        <v/>
      </c>
      <c r="C52" s="472">
        <f>IF(D11="","-",+C51+1)</f>
        <v>2054</v>
      </c>
      <c r="D52" s="483">
        <f>IF(F51+SUM(E$17:E51)=D$10,F51,D$10-SUM(E$17:E51))</f>
        <v>985928.76301218465</v>
      </c>
      <c r="E52" s="484">
        <f t="shared" si="6"/>
        <v>120442.59523809524</v>
      </c>
      <c r="F52" s="485">
        <f t="shared" si="7"/>
        <v>865486.16777408938</v>
      </c>
      <c r="G52" s="486">
        <f t="shared" si="8"/>
        <v>220244.2703352028</v>
      </c>
      <c r="H52" s="455">
        <f t="shared" si="9"/>
        <v>220244.2703352028</v>
      </c>
      <c r="I52" s="475">
        <f t="shared" si="3"/>
        <v>0</v>
      </c>
      <c r="J52" s="475"/>
      <c r="K52" s="487"/>
      <c r="L52" s="478">
        <f t="shared" si="1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5"/>
        <v/>
      </c>
      <c r="C53" s="472">
        <f>IF(D11="","-",+C52+1)</f>
        <v>2055</v>
      </c>
      <c r="D53" s="483">
        <f>IF(F52+SUM(E$17:E52)=D$10,F52,D$10-SUM(E$17:E52))</f>
        <v>865486.16777408938</v>
      </c>
      <c r="E53" s="484">
        <f t="shared" si="6"/>
        <v>120442.59523809524</v>
      </c>
      <c r="F53" s="485">
        <f t="shared" si="7"/>
        <v>745043.57253599411</v>
      </c>
      <c r="G53" s="486">
        <f t="shared" si="8"/>
        <v>207259.20409432516</v>
      </c>
      <c r="H53" s="455">
        <f t="shared" si="9"/>
        <v>207259.20409432516</v>
      </c>
      <c r="I53" s="475">
        <f t="shared" si="3"/>
        <v>0</v>
      </c>
      <c r="J53" s="475"/>
      <c r="K53" s="487"/>
      <c r="L53" s="478">
        <f t="shared" si="1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5"/>
        <v/>
      </c>
      <c r="C54" s="472">
        <f>IF(D11="","-",+C53+1)</f>
        <v>2056</v>
      </c>
      <c r="D54" s="483">
        <f>IF(F53+SUM(E$17:E53)=D$10,F53,D$10-SUM(E$17:E53))</f>
        <v>745043.57253599411</v>
      </c>
      <c r="E54" s="484">
        <f t="shared" si="6"/>
        <v>120442.59523809524</v>
      </c>
      <c r="F54" s="485">
        <f t="shared" si="7"/>
        <v>624600.97729789885</v>
      </c>
      <c r="G54" s="486">
        <f t="shared" si="8"/>
        <v>194274.13785344752</v>
      </c>
      <c r="H54" s="455">
        <f t="shared" si="9"/>
        <v>194274.13785344752</v>
      </c>
      <c r="I54" s="475">
        <f t="shared" si="3"/>
        <v>0</v>
      </c>
      <c r="J54" s="475"/>
      <c r="K54" s="487"/>
      <c r="L54" s="478">
        <f t="shared" si="1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5"/>
        <v/>
      </c>
      <c r="C55" s="472">
        <f>IF(D11="","-",+C54+1)</f>
        <v>2057</v>
      </c>
      <c r="D55" s="483">
        <f>IF(F54+SUM(E$17:E54)=D$10,F54,D$10-SUM(E$17:E54))</f>
        <v>624600.97729789885</v>
      </c>
      <c r="E55" s="484">
        <f t="shared" si="6"/>
        <v>120442.59523809524</v>
      </c>
      <c r="F55" s="485">
        <f t="shared" si="7"/>
        <v>504158.38205980358</v>
      </c>
      <c r="G55" s="486">
        <f t="shared" si="8"/>
        <v>181289.07161256991</v>
      </c>
      <c r="H55" s="455">
        <f t="shared" si="9"/>
        <v>181289.07161256991</v>
      </c>
      <c r="I55" s="475">
        <f t="shared" si="3"/>
        <v>0</v>
      </c>
      <c r="J55" s="475"/>
      <c r="K55" s="487"/>
      <c r="L55" s="478">
        <f t="shared" si="1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5"/>
        <v/>
      </c>
      <c r="C56" s="472">
        <f>IF(D11="","-",+C55+1)</f>
        <v>2058</v>
      </c>
      <c r="D56" s="483">
        <f>IF(F55+SUM(E$17:E55)=D$10,F55,D$10-SUM(E$17:E55))</f>
        <v>504158.38205980358</v>
      </c>
      <c r="E56" s="484">
        <f t="shared" si="6"/>
        <v>120442.59523809524</v>
      </c>
      <c r="F56" s="485">
        <f t="shared" si="7"/>
        <v>383715.78682170832</v>
      </c>
      <c r="G56" s="486">
        <f t="shared" si="8"/>
        <v>168304.0053716923</v>
      </c>
      <c r="H56" s="455">
        <f t="shared" si="9"/>
        <v>168304.0053716923</v>
      </c>
      <c r="I56" s="475">
        <f t="shared" si="3"/>
        <v>0</v>
      </c>
      <c r="J56" s="475"/>
      <c r="K56" s="487"/>
      <c r="L56" s="478">
        <f t="shared" si="1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5"/>
        <v/>
      </c>
      <c r="C57" s="472">
        <f>IF(D11="","-",+C56+1)</f>
        <v>2059</v>
      </c>
      <c r="D57" s="483">
        <f>IF(F56+SUM(E$17:E56)=D$10,F56,D$10-SUM(E$17:E56))</f>
        <v>383715.78682170832</v>
      </c>
      <c r="E57" s="484">
        <f t="shared" si="6"/>
        <v>120442.59523809524</v>
      </c>
      <c r="F57" s="485">
        <f t="shared" si="7"/>
        <v>263273.19158361305</v>
      </c>
      <c r="G57" s="486">
        <f t="shared" si="8"/>
        <v>155318.93913081466</v>
      </c>
      <c r="H57" s="455">
        <f t="shared" si="9"/>
        <v>155318.93913081466</v>
      </c>
      <c r="I57" s="475">
        <f t="shared" si="3"/>
        <v>0</v>
      </c>
      <c r="J57" s="475"/>
      <c r="K57" s="487"/>
      <c r="L57" s="478">
        <f t="shared" si="1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5"/>
        <v/>
      </c>
      <c r="C58" s="472">
        <f>IF(D11="","-",+C57+1)</f>
        <v>2060</v>
      </c>
      <c r="D58" s="483">
        <f>IF(F57+SUM(E$17:E57)=D$10,F57,D$10-SUM(E$17:E57))</f>
        <v>263273.19158361305</v>
      </c>
      <c r="E58" s="484">
        <f t="shared" si="6"/>
        <v>120442.59523809524</v>
      </c>
      <c r="F58" s="485">
        <f t="shared" si="7"/>
        <v>142830.59634551781</v>
      </c>
      <c r="G58" s="486">
        <f t="shared" si="8"/>
        <v>142333.87288993702</v>
      </c>
      <c r="H58" s="455">
        <f t="shared" si="9"/>
        <v>142333.87288993702</v>
      </c>
      <c r="I58" s="475">
        <f t="shared" si="3"/>
        <v>0</v>
      </c>
      <c r="J58" s="475"/>
      <c r="K58" s="487"/>
      <c r="L58" s="478">
        <f t="shared" si="1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5"/>
        <v/>
      </c>
      <c r="C59" s="472">
        <f>IF(D11="","-",+C58+1)</f>
        <v>2061</v>
      </c>
      <c r="D59" s="483">
        <f>IF(F58+SUM(E$17:E58)=D$10,F58,D$10-SUM(E$17:E58))</f>
        <v>142830.59634551781</v>
      </c>
      <c r="E59" s="484">
        <f t="shared" si="6"/>
        <v>120442.59523809524</v>
      </c>
      <c r="F59" s="485">
        <f t="shared" si="7"/>
        <v>22388.001107422577</v>
      </c>
      <c r="G59" s="486">
        <f t="shared" si="8"/>
        <v>129348.80664905941</v>
      </c>
      <c r="H59" s="455">
        <f t="shared" si="9"/>
        <v>129348.80664905941</v>
      </c>
      <c r="I59" s="475">
        <f t="shared" si="3"/>
        <v>0</v>
      </c>
      <c r="J59" s="475"/>
      <c r="K59" s="487"/>
      <c r="L59" s="478">
        <f t="shared" si="1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5"/>
        <v/>
      </c>
      <c r="C60" s="472">
        <f>IF(D11="","-",+C59+1)</f>
        <v>2062</v>
      </c>
      <c r="D60" s="483">
        <f>IF(F59+SUM(E$17:E59)=D$10,F59,D$10-SUM(E$17:E59))</f>
        <v>22388.001107422577</v>
      </c>
      <c r="E60" s="484">
        <f t="shared" si="6"/>
        <v>22388.001107422577</v>
      </c>
      <c r="F60" s="485">
        <f t="shared" si="7"/>
        <v>0</v>
      </c>
      <c r="G60" s="486">
        <f t="shared" si="8"/>
        <v>23594.840252685259</v>
      </c>
      <c r="H60" s="455">
        <f t="shared" si="9"/>
        <v>23594.840252685259</v>
      </c>
      <c r="I60" s="475">
        <f t="shared" si="3"/>
        <v>0</v>
      </c>
      <c r="J60" s="475"/>
      <c r="K60" s="487"/>
      <c r="L60" s="478">
        <f t="shared" si="1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5"/>
        <v/>
      </c>
      <c r="C61" s="472">
        <f>IF(D11="","-",+C60+1)</f>
        <v>2063</v>
      </c>
      <c r="D61" s="483">
        <f>IF(F60+SUM(E$17:E60)=D$10,F60,D$10-SUM(E$17:E60))</f>
        <v>0</v>
      </c>
      <c r="E61" s="484">
        <f t="shared" si="6"/>
        <v>0</v>
      </c>
      <c r="F61" s="485">
        <f t="shared" si="7"/>
        <v>0</v>
      </c>
      <c r="G61" s="486">
        <f t="shared" si="8"/>
        <v>0</v>
      </c>
      <c r="H61" s="455">
        <f t="shared" si="9"/>
        <v>0</v>
      </c>
      <c r="I61" s="475">
        <f t="shared" si="3"/>
        <v>0</v>
      </c>
      <c r="J61" s="475"/>
      <c r="K61" s="487"/>
      <c r="L61" s="478">
        <f t="shared" si="1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5"/>
        <v/>
      </c>
      <c r="C62" s="472">
        <f>IF(D11="","-",+C61+1)</f>
        <v>2064</v>
      </c>
      <c r="D62" s="483">
        <f>IF(F61+SUM(E$17:E61)=D$10,F61,D$10-SUM(E$17:E61))</f>
        <v>0</v>
      </c>
      <c r="E62" s="484">
        <f t="shared" si="6"/>
        <v>0</v>
      </c>
      <c r="F62" s="485">
        <f t="shared" si="7"/>
        <v>0</v>
      </c>
      <c r="G62" s="486">
        <f t="shared" si="8"/>
        <v>0</v>
      </c>
      <c r="H62" s="455">
        <f t="shared" si="9"/>
        <v>0</v>
      </c>
      <c r="I62" s="475">
        <f t="shared" si="3"/>
        <v>0</v>
      </c>
      <c r="J62" s="475"/>
      <c r="K62" s="487"/>
      <c r="L62" s="478">
        <f t="shared" si="1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5"/>
        <v/>
      </c>
      <c r="C63" s="472">
        <f>IF(D11="","-",+C62+1)</f>
        <v>2065</v>
      </c>
      <c r="D63" s="483">
        <f>IF(F62+SUM(E$17:E62)=D$10,F62,D$10-SUM(E$17:E62))</f>
        <v>0</v>
      </c>
      <c r="E63" s="484">
        <f t="shared" si="6"/>
        <v>0</v>
      </c>
      <c r="F63" s="485">
        <f t="shared" si="7"/>
        <v>0</v>
      </c>
      <c r="G63" s="486">
        <f t="shared" si="8"/>
        <v>0</v>
      </c>
      <c r="H63" s="455">
        <f t="shared" si="9"/>
        <v>0</v>
      </c>
      <c r="I63" s="475">
        <f t="shared" si="3"/>
        <v>0</v>
      </c>
      <c r="J63" s="475"/>
      <c r="K63" s="487"/>
      <c r="L63" s="478">
        <f t="shared" si="1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5"/>
        <v/>
      </c>
      <c r="C64" s="472">
        <f>IF(D11="","-",+C63+1)</f>
        <v>2066</v>
      </c>
      <c r="D64" s="483">
        <f>IF(F63+SUM(E$17:E63)=D$10,F63,D$10-SUM(E$17:E63))</f>
        <v>0</v>
      </c>
      <c r="E64" s="484">
        <f t="shared" si="6"/>
        <v>0</v>
      </c>
      <c r="F64" s="485">
        <f t="shared" si="7"/>
        <v>0</v>
      </c>
      <c r="G64" s="486">
        <f t="shared" si="8"/>
        <v>0</v>
      </c>
      <c r="H64" s="455">
        <f t="shared" si="9"/>
        <v>0</v>
      </c>
      <c r="I64" s="475">
        <f t="shared" si="3"/>
        <v>0</v>
      </c>
      <c r="J64" s="475"/>
      <c r="K64" s="487"/>
      <c r="L64" s="478">
        <f t="shared" si="1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5"/>
        <v/>
      </c>
      <c r="C65" s="472">
        <f>IF(D11="","-",+C64+1)</f>
        <v>2067</v>
      </c>
      <c r="D65" s="483">
        <f>IF(F64+SUM(E$17:E64)=D$10,F64,D$10-SUM(E$17:E64))</f>
        <v>0</v>
      </c>
      <c r="E65" s="484">
        <f t="shared" si="6"/>
        <v>0</v>
      </c>
      <c r="F65" s="485">
        <f t="shared" si="7"/>
        <v>0</v>
      </c>
      <c r="G65" s="486">
        <f t="shared" si="8"/>
        <v>0</v>
      </c>
      <c r="H65" s="455">
        <f t="shared" si="9"/>
        <v>0</v>
      </c>
      <c r="I65" s="475">
        <f t="shared" si="3"/>
        <v>0</v>
      </c>
      <c r="J65" s="475"/>
      <c r="K65" s="487"/>
      <c r="L65" s="478">
        <f t="shared" si="1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5"/>
        <v/>
      </c>
      <c r="C66" s="472">
        <f>IF(D11="","-",+C65+1)</f>
        <v>2068</v>
      </c>
      <c r="D66" s="483">
        <f>IF(F65+SUM(E$17:E65)=D$10,F65,D$10-SUM(E$17:E65))</f>
        <v>0</v>
      </c>
      <c r="E66" s="484">
        <f t="shared" si="6"/>
        <v>0</v>
      </c>
      <c r="F66" s="485">
        <f t="shared" si="7"/>
        <v>0</v>
      </c>
      <c r="G66" s="486">
        <f t="shared" si="8"/>
        <v>0</v>
      </c>
      <c r="H66" s="455">
        <f t="shared" si="9"/>
        <v>0</v>
      </c>
      <c r="I66" s="475">
        <f t="shared" si="3"/>
        <v>0</v>
      </c>
      <c r="J66" s="475"/>
      <c r="K66" s="487"/>
      <c r="L66" s="478">
        <f t="shared" si="1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5"/>
        <v/>
      </c>
      <c r="C67" s="472">
        <f>IF(D11="","-",+C66+1)</f>
        <v>2069</v>
      </c>
      <c r="D67" s="483">
        <f>IF(F66+SUM(E$17:E66)=D$10,F66,D$10-SUM(E$17:E66))</f>
        <v>0</v>
      </c>
      <c r="E67" s="484">
        <f t="shared" si="6"/>
        <v>0</v>
      </c>
      <c r="F67" s="485">
        <f t="shared" si="7"/>
        <v>0</v>
      </c>
      <c r="G67" s="486">
        <f t="shared" si="8"/>
        <v>0</v>
      </c>
      <c r="H67" s="455">
        <f t="shared" si="9"/>
        <v>0</v>
      </c>
      <c r="I67" s="475">
        <f t="shared" si="3"/>
        <v>0</v>
      </c>
      <c r="J67" s="475"/>
      <c r="K67" s="487"/>
      <c r="L67" s="478">
        <f t="shared" si="1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5"/>
        <v/>
      </c>
      <c r="C68" s="472">
        <f>IF(D11="","-",+C67+1)</f>
        <v>2070</v>
      </c>
      <c r="D68" s="483">
        <f>IF(F67+SUM(E$17:E67)=D$10,F67,D$10-SUM(E$17:E67))</f>
        <v>0</v>
      </c>
      <c r="E68" s="484">
        <f t="shared" si="6"/>
        <v>0</v>
      </c>
      <c r="F68" s="485">
        <f t="shared" si="7"/>
        <v>0</v>
      </c>
      <c r="G68" s="486">
        <f t="shared" si="8"/>
        <v>0</v>
      </c>
      <c r="H68" s="455">
        <f t="shared" si="9"/>
        <v>0</v>
      </c>
      <c r="I68" s="475">
        <f t="shared" si="3"/>
        <v>0</v>
      </c>
      <c r="J68" s="475"/>
      <c r="K68" s="487"/>
      <c r="L68" s="478">
        <f t="shared" si="1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5"/>
        <v/>
      </c>
      <c r="C69" s="472">
        <f>IF(D11="","-",+C68+1)</f>
        <v>2071</v>
      </c>
      <c r="D69" s="483">
        <f>IF(F68+SUM(E$17:E68)=D$10,F68,D$10-SUM(E$17:E68))</f>
        <v>0</v>
      </c>
      <c r="E69" s="484">
        <f t="shared" si="6"/>
        <v>0</v>
      </c>
      <c r="F69" s="485">
        <f t="shared" si="7"/>
        <v>0</v>
      </c>
      <c r="G69" s="486">
        <f t="shared" si="8"/>
        <v>0</v>
      </c>
      <c r="H69" s="455">
        <f t="shared" si="9"/>
        <v>0</v>
      </c>
      <c r="I69" s="475">
        <f t="shared" si="3"/>
        <v>0</v>
      </c>
      <c r="J69" s="475"/>
      <c r="K69" s="487"/>
      <c r="L69" s="478">
        <f t="shared" si="1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5"/>
        <v/>
      </c>
      <c r="C70" s="472">
        <f>IF(D11="","-",+C69+1)</f>
        <v>2072</v>
      </c>
      <c r="D70" s="483">
        <f>IF(F69+SUM(E$17:E69)=D$10,F69,D$10-SUM(E$17:E69))</f>
        <v>0</v>
      </c>
      <c r="E70" s="484">
        <f t="shared" si="6"/>
        <v>0</v>
      </c>
      <c r="F70" s="485">
        <f t="shared" si="7"/>
        <v>0</v>
      </c>
      <c r="G70" s="486">
        <f t="shared" si="8"/>
        <v>0</v>
      </c>
      <c r="H70" s="455">
        <f t="shared" si="9"/>
        <v>0</v>
      </c>
      <c r="I70" s="475">
        <f t="shared" si="3"/>
        <v>0</v>
      </c>
      <c r="J70" s="475"/>
      <c r="K70" s="487"/>
      <c r="L70" s="478">
        <f t="shared" si="1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5"/>
        <v/>
      </c>
      <c r="C71" s="472">
        <f>IF(D11="","-",+C70+1)</f>
        <v>2073</v>
      </c>
      <c r="D71" s="483">
        <f>IF(F70+SUM(E$17:E70)=D$10,F70,D$10-SUM(E$17:E70))</f>
        <v>0</v>
      </c>
      <c r="E71" s="484">
        <f t="shared" si="6"/>
        <v>0</v>
      </c>
      <c r="F71" s="485">
        <f t="shared" si="7"/>
        <v>0</v>
      </c>
      <c r="G71" s="486">
        <f t="shared" si="8"/>
        <v>0</v>
      </c>
      <c r="H71" s="455">
        <f t="shared" si="9"/>
        <v>0</v>
      </c>
      <c r="I71" s="475">
        <f t="shared" si="3"/>
        <v>0</v>
      </c>
      <c r="J71" s="475"/>
      <c r="K71" s="487"/>
      <c r="L71" s="478">
        <f t="shared" si="1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5"/>
        <v/>
      </c>
      <c r="C72" s="489">
        <f>IF(D11="","-",+C71+1)</f>
        <v>2074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1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5058589</v>
      </c>
      <c r="F73" s="347"/>
      <c r="G73" s="347">
        <f>SUM(G17:G72)</f>
        <v>16754671.874707591</v>
      </c>
      <c r="H73" s="347">
        <f>SUM(H17:H72)</f>
        <v>16754671.874707591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27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552918.85124067403</v>
      </c>
      <c r="N87" s="508">
        <f>IF(J92&lt;D11,0,VLOOKUP(J92,C17:O72,11))</f>
        <v>552918.85124067403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683432.56004823186</v>
      </c>
      <c r="N88" s="512">
        <f>IF(J92&lt;D11,0,VLOOKUP(J92,C99:P154,7))</f>
        <v>683432.56004823186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Broken Arrow North-Lynn Lane East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130513.70880755782</v>
      </c>
      <c r="N89" s="517">
        <f>+N88-N87</f>
        <v>130513.70880755782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TP2017016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5058589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2019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3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120443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2019</v>
      </c>
      <c r="D99" s="584">
        <v>0</v>
      </c>
      <c r="E99" s="608">
        <v>92534.25</v>
      </c>
      <c r="F99" s="584">
        <v>4965987.75</v>
      </c>
      <c r="G99" s="608">
        <v>2482993.875</v>
      </c>
      <c r="H99" s="587">
        <v>348565.74518479535</v>
      </c>
      <c r="I99" s="607">
        <v>348565.74518479535</v>
      </c>
      <c r="J99" s="478">
        <f>+I99-H99</f>
        <v>0</v>
      </c>
      <c r="K99" s="478"/>
      <c r="L99" s="477">
        <f>+H99</f>
        <v>348565.74518479535</v>
      </c>
      <c r="M99" s="477">
        <f t="shared" ref="M99" si="11">IF(L99&lt;&gt;0,+H99-L99,0)</f>
        <v>0</v>
      </c>
      <c r="N99" s="477">
        <f>+I99</f>
        <v>348565.74518479535</v>
      </c>
      <c r="O99" s="477">
        <f t="shared" ref="O99:O130" si="12">IF(N99&lt;&gt;0,+I99-N99,0)</f>
        <v>0</v>
      </c>
      <c r="P99" s="477">
        <f t="shared" ref="P99:P130" si="13">+O99-M99</f>
        <v>0</v>
      </c>
    </row>
    <row r="100" spans="1:16">
      <c r="B100" s="160" t="str">
        <f>IF(D100=F99,"","IU")</f>
        <v>IU</v>
      </c>
      <c r="C100" s="472">
        <f>IF(D93="","-",+C99+1)</f>
        <v>2020</v>
      </c>
      <c r="D100" s="578">
        <v>4966054.75</v>
      </c>
      <c r="E100" s="579">
        <v>117642</v>
      </c>
      <c r="F100" s="578">
        <v>4848412.75</v>
      </c>
      <c r="G100" s="579">
        <v>4907233.75</v>
      </c>
      <c r="H100" s="602">
        <v>683432.56004823186</v>
      </c>
      <c r="I100" s="578">
        <v>683432.56004823186</v>
      </c>
      <c r="J100" s="478">
        <f t="shared" ref="J100:J130" si="14">+I100-H100</f>
        <v>0</v>
      </c>
      <c r="K100" s="478"/>
      <c r="L100" s="476">
        <f>H100</f>
        <v>683432.56004823186</v>
      </c>
      <c r="M100" s="348">
        <f>IF(L100&lt;&gt;0,+H100-L100,0)</f>
        <v>0</v>
      </c>
      <c r="N100" s="476">
        <f>I100</f>
        <v>683432.56004823186</v>
      </c>
      <c r="O100" s="478">
        <f t="shared" si="12"/>
        <v>0</v>
      </c>
      <c r="P100" s="478">
        <f t="shared" si="13"/>
        <v>0</v>
      </c>
    </row>
    <row r="101" spans="1:16">
      <c r="B101" s="160" t="str">
        <f t="shared" ref="B101:B154" si="15">IF(D101=F100,"","IU")</f>
        <v/>
      </c>
      <c r="C101" s="472">
        <f>IF(D93="","-",+C100+1)</f>
        <v>2021</v>
      </c>
      <c r="D101" s="346">
        <f>IF(F100+SUM(E$99:E100)=D$92,F100,D$92-SUM(E$99:E100))</f>
        <v>4848412.75</v>
      </c>
      <c r="E101" s="484">
        <f t="shared" ref="E101:E154" si="16">IF(+J$96&lt;F100,J$96,D101)</f>
        <v>120443</v>
      </c>
      <c r="F101" s="485">
        <f t="shared" ref="F101:F154" si="17">+D101-E101</f>
        <v>4727969.75</v>
      </c>
      <c r="G101" s="485">
        <f t="shared" ref="G101:G154" si="18">+(F101+D101)/2</f>
        <v>4788191.25</v>
      </c>
      <c r="H101" s="613">
        <f t="shared" ref="H101:H154" si="19">+J$94*G101+E101</f>
        <v>636663.86382588232</v>
      </c>
      <c r="I101" s="614">
        <f t="shared" ref="I101:I154" si="20">+J$95*G101+E101</f>
        <v>636663.86382588232</v>
      </c>
      <c r="J101" s="478">
        <f t="shared" si="14"/>
        <v>0</v>
      </c>
      <c r="K101" s="478"/>
      <c r="L101" s="487"/>
      <c r="M101" s="478">
        <f t="shared" ref="M101:M130" si="21">IF(L101&lt;&gt;0,+H101-L101,0)</f>
        <v>0</v>
      </c>
      <c r="N101" s="487"/>
      <c r="O101" s="478">
        <f t="shared" si="12"/>
        <v>0</v>
      </c>
      <c r="P101" s="478">
        <f t="shared" si="13"/>
        <v>0</v>
      </c>
    </row>
    <row r="102" spans="1:16">
      <c r="B102" s="160" t="str">
        <f t="shared" si="15"/>
        <v/>
      </c>
      <c r="C102" s="472">
        <f>IF(D93="","-",+C101+1)</f>
        <v>2022</v>
      </c>
      <c r="D102" s="346">
        <f>IF(F101+SUM(E$99:E101)=D$92,F101,D$92-SUM(E$99:E101))</f>
        <v>4727969.75</v>
      </c>
      <c r="E102" s="484">
        <f t="shared" si="16"/>
        <v>120443</v>
      </c>
      <c r="F102" s="485">
        <f t="shared" si="17"/>
        <v>4607526.75</v>
      </c>
      <c r="G102" s="485">
        <f t="shared" si="18"/>
        <v>4667748.25</v>
      </c>
      <c r="H102" s="613">
        <f t="shared" si="19"/>
        <v>623678.75394711946</v>
      </c>
      <c r="I102" s="614">
        <f t="shared" si="20"/>
        <v>623678.75394711946</v>
      </c>
      <c r="J102" s="478">
        <f t="shared" si="14"/>
        <v>0</v>
      </c>
      <c r="K102" s="478"/>
      <c r="L102" s="487"/>
      <c r="M102" s="478">
        <f t="shared" si="21"/>
        <v>0</v>
      </c>
      <c r="N102" s="487"/>
      <c r="O102" s="478">
        <f t="shared" si="12"/>
        <v>0</v>
      </c>
      <c r="P102" s="478">
        <f t="shared" si="13"/>
        <v>0</v>
      </c>
    </row>
    <row r="103" spans="1:16">
      <c r="B103" s="160" t="str">
        <f t="shared" si="15"/>
        <v/>
      </c>
      <c r="C103" s="472">
        <f>IF(D93="","-",+C102+1)</f>
        <v>2023</v>
      </c>
      <c r="D103" s="346">
        <f>IF(F102+SUM(E$99:E102)=D$92,F102,D$92-SUM(E$99:E102))</f>
        <v>4607526.75</v>
      </c>
      <c r="E103" s="484">
        <f t="shared" si="16"/>
        <v>120443</v>
      </c>
      <c r="F103" s="485">
        <f t="shared" si="17"/>
        <v>4487083.75</v>
      </c>
      <c r="G103" s="485">
        <f t="shared" si="18"/>
        <v>4547305.25</v>
      </c>
      <c r="H103" s="613">
        <f t="shared" si="19"/>
        <v>610693.64406835672</v>
      </c>
      <c r="I103" s="614">
        <f t="shared" si="20"/>
        <v>610693.64406835672</v>
      </c>
      <c r="J103" s="478">
        <f t="shared" si="14"/>
        <v>0</v>
      </c>
      <c r="K103" s="478"/>
      <c r="L103" s="487"/>
      <c r="M103" s="478">
        <f t="shared" si="21"/>
        <v>0</v>
      </c>
      <c r="N103" s="487"/>
      <c r="O103" s="478">
        <f t="shared" si="12"/>
        <v>0</v>
      </c>
      <c r="P103" s="478">
        <f t="shared" si="13"/>
        <v>0</v>
      </c>
    </row>
    <row r="104" spans="1:16">
      <c r="B104" s="160" t="str">
        <f t="shared" si="15"/>
        <v/>
      </c>
      <c r="C104" s="472">
        <f>IF(D93="","-",+C103+1)</f>
        <v>2024</v>
      </c>
      <c r="D104" s="346">
        <f>IF(F103+SUM(E$99:E103)=D$92,F103,D$92-SUM(E$99:E103))</f>
        <v>4487083.75</v>
      </c>
      <c r="E104" s="484">
        <f t="shared" si="16"/>
        <v>120443</v>
      </c>
      <c r="F104" s="485">
        <f t="shared" si="17"/>
        <v>4366640.75</v>
      </c>
      <c r="G104" s="485">
        <f t="shared" si="18"/>
        <v>4426862.25</v>
      </c>
      <c r="H104" s="613">
        <f t="shared" si="19"/>
        <v>597708.53418959386</v>
      </c>
      <c r="I104" s="614">
        <f t="shared" si="20"/>
        <v>597708.53418959386</v>
      </c>
      <c r="J104" s="478">
        <f t="shared" si="14"/>
        <v>0</v>
      </c>
      <c r="K104" s="478"/>
      <c r="L104" s="487"/>
      <c r="M104" s="478">
        <f t="shared" si="21"/>
        <v>0</v>
      </c>
      <c r="N104" s="487"/>
      <c r="O104" s="478">
        <f t="shared" si="12"/>
        <v>0</v>
      </c>
      <c r="P104" s="478">
        <f t="shared" si="13"/>
        <v>0</v>
      </c>
    </row>
    <row r="105" spans="1:16">
      <c r="B105" s="160" t="str">
        <f t="shared" si="15"/>
        <v/>
      </c>
      <c r="C105" s="472">
        <f>IF(D93="","-",+C104+1)</f>
        <v>2025</v>
      </c>
      <c r="D105" s="346">
        <f>IF(F104+SUM(E$99:E104)=D$92,F104,D$92-SUM(E$99:E104))</f>
        <v>4366640.75</v>
      </c>
      <c r="E105" s="484">
        <f t="shared" si="16"/>
        <v>120443</v>
      </c>
      <c r="F105" s="485">
        <f t="shared" si="17"/>
        <v>4246197.75</v>
      </c>
      <c r="G105" s="485">
        <f t="shared" si="18"/>
        <v>4306419.25</v>
      </c>
      <c r="H105" s="613">
        <f t="shared" si="19"/>
        <v>584723.424310831</v>
      </c>
      <c r="I105" s="614">
        <f t="shared" si="20"/>
        <v>584723.424310831</v>
      </c>
      <c r="J105" s="478">
        <f t="shared" si="14"/>
        <v>0</v>
      </c>
      <c r="K105" s="478"/>
      <c r="L105" s="487"/>
      <c r="M105" s="478">
        <f t="shared" si="21"/>
        <v>0</v>
      </c>
      <c r="N105" s="487"/>
      <c r="O105" s="478">
        <f t="shared" si="12"/>
        <v>0</v>
      </c>
      <c r="P105" s="478">
        <f t="shared" si="13"/>
        <v>0</v>
      </c>
    </row>
    <row r="106" spans="1:16">
      <c r="B106" s="160" t="str">
        <f t="shared" si="15"/>
        <v/>
      </c>
      <c r="C106" s="472">
        <f>IF(D93="","-",+C105+1)</f>
        <v>2026</v>
      </c>
      <c r="D106" s="346">
        <f>IF(F105+SUM(E$99:E105)=D$92,F105,D$92-SUM(E$99:E105))</f>
        <v>4246197.75</v>
      </c>
      <c r="E106" s="484">
        <f t="shared" si="16"/>
        <v>120443</v>
      </c>
      <c r="F106" s="485">
        <f t="shared" si="17"/>
        <v>4125754.75</v>
      </c>
      <c r="G106" s="485">
        <f t="shared" si="18"/>
        <v>4185976.25</v>
      </c>
      <c r="H106" s="613">
        <f t="shared" si="19"/>
        <v>571738.31443206826</v>
      </c>
      <c r="I106" s="614">
        <f t="shared" si="20"/>
        <v>571738.31443206826</v>
      </c>
      <c r="J106" s="478">
        <f t="shared" si="14"/>
        <v>0</v>
      </c>
      <c r="K106" s="478"/>
      <c r="L106" s="487"/>
      <c r="M106" s="478">
        <f t="shared" si="21"/>
        <v>0</v>
      </c>
      <c r="N106" s="487"/>
      <c r="O106" s="478">
        <f t="shared" si="12"/>
        <v>0</v>
      </c>
      <c r="P106" s="478">
        <f t="shared" si="13"/>
        <v>0</v>
      </c>
    </row>
    <row r="107" spans="1:16">
      <c r="B107" s="160" t="str">
        <f t="shared" si="15"/>
        <v/>
      </c>
      <c r="C107" s="472">
        <f>IF(D93="","-",+C106+1)</f>
        <v>2027</v>
      </c>
      <c r="D107" s="346">
        <f>IF(F106+SUM(E$99:E106)=D$92,F106,D$92-SUM(E$99:E106))</f>
        <v>4125754.75</v>
      </c>
      <c r="E107" s="484">
        <f t="shared" si="16"/>
        <v>120443</v>
      </c>
      <c r="F107" s="485">
        <f t="shared" si="17"/>
        <v>4005311.75</v>
      </c>
      <c r="G107" s="485">
        <f t="shared" si="18"/>
        <v>4065533.25</v>
      </c>
      <c r="H107" s="613">
        <f t="shared" si="19"/>
        <v>558753.2045533054</v>
      </c>
      <c r="I107" s="614">
        <f t="shared" si="20"/>
        <v>558753.2045533054</v>
      </c>
      <c r="J107" s="478">
        <f t="shared" si="14"/>
        <v>0</v>
      </c>
      <c r="K107" s="478"/>
      <c r="L107" s="487"/>
      <c r="M107" s="478">
        <f t="shared" si="21"/>
        <v>0</v>
      </c>
      <c r="N107" s="487"/>
      <c r="O107" s="478">
        <f t="shared" si="12"/>
        <v>0</v>
      </c>
      <c r="P107" s="478">
        <f t="shared" si="13"/>
        <v>0</v>
      </c>
    </row>
    <row r="108" spans="1:16">
      <c r="B108" s="160" t="str">
        <f t="shared" si="15"/>
        <v/>
      </c>
      <c r="C108" s="472">
        <f>IF(D93="","-",+C107+1)</f>
        <v>2028</v>
      </c>
      <c r="D108" s="346">
        <f>IF(F107+SUM(E$99:E107)=D$92,F107,D$92-SUM(E$99:E107))</f>
        <v>4005311.75</v>
      </c>
      <c r="E108" s="484">
        <f t="shared" si="16"/>
        <v>120443</v>
      </c>
      <c r="F108" s="485">
        <f t="shared" si="17"/>
        <v>3884868.75</v>
      </c>
      <c r="G108" s="485">
        <f t="shared" si="18"/>
        <v>3945090.25</v>
      </c>
      <c r="H108" s="613">
        <f t="shared" si="19"/>
        <v>545768.09467454255</v>
      </c>
      <c r="I108" s="614">
        <f t="shared" si="20"/>
        <v>545768.09467454255</v>
      </c>
      <c r="J108" s="478">
        <f t="shared" si="14"/>
        <v>0</v>
      </c>
      <c r="K108" s="478"/>
      <c r="L108" s="487"/>
      <c r="M108" s="478">
        <f t="shared" si="21"/>
        <v>0</v>
      </c>
      <c r="N108" s="487"/>
      <c r="O108" s="478">
        <f t="shared" si="12"/>
        <v>0</v>
      </c>
      <c r="P108" s="478">
        <f t="shared" si="13"/>
        <v>0</v>
      </c>
    </row>
    <row r="109" spans="1:16">
      <c r="B109" s="160" t="str">
        <f t="shared" si="15"/>
        <v/>
      </c>
      <c r="C109" s="472">
        <f>IF(D93="","-",+C108+1)</f>
        <v>2029</v>
      </c>
      <c r="D109" s="346">
        <f>IF(F108+SUM(E$99:E108)=D$92,F108,D$92-SUM(E$99:E108))</f>
        <v>3884868.75</v>
      </c>
      <c r="E109" s="484">
        <f t="shared" si="16"/>
        <v>120443</v>
      </c>
      <c r="F109" s="485">
        <f t="shared" si="17"/>
        <v>3764425.75</v>
      </c>
      <c r="G109" s="485">
        <f t="shared" si="18"/>
        <v>3824647.25</v>
      </c>
      <c r="H109" s="613">
        <f t="shared" si="19"/>
        <v>532782.98479577969</v>
      </c>
      <c r="I109" s="614">
        <f t="shared" si="20"/>
        <v>532782.98479577969</v>
      </c>
      <c r="J109" s="478">
        <f t="shared" si="14"/>
        <v>0</v>
      </c>
      <c r="K109" s="478"/>
      <c r="L109" s="487"/>
      <c r="M109" s="478">
        <f t="shared" si="21"/>
        <v>0</v>
      </c>
      <c r="N109" s="487"/>
      <c r="O109" s="478">
        <f t="shared" si="12"/>
        <v>0</v>
      </c>
      <c r="P109" s="478">
        <f t="shared" si="13"/>
        <v>0</v>
      </c>
    </row>
    <row r="110" spans="1:16">
      <c r="B110" s="160" t="str">
        <f t="shared" si="15"/>
        <v/>
      </c>
      <c r="C110" s="472">
        <f>IF(D93="","-",+C109+1)</f>
        <v>2030</v>
      </c>
      <c r="D110" s="346">
        <f>IF(F109+SUM(E$99:E109)=D$92,F109,D$92-SUM(E$99:E109))</f>
        <v>3764425.75</v>
      </c>
      <c r="E110" s="484">
        <f t="shared" si="16"/>
        <v>120443</v>
      </c>
      <c r="F110" s="485">
        <f t="shared" si="17"/>
        <v>3643982.75</v>
      </c>
      <c r="G110" s="485">
        <f t="shared" si="18"/>
        <v>3704204.25</v>
      </c>
      <c r="H110" s="613">
        <f t="shared" si="19"/>
        <v>519797.87491701689</v>
      </c>
      <c r="I110" s="614">
        <f t="shared" si="20"/>
        <v>519797.87491701689</v>
      </c>
      <c r="J110" s="478">
        <f t="shared" si="14"/>
        <v>0</v>
      </c>
      <c r="K110" s="478"/>
      <c r="L110" s="487"/>
      <c r="M110" s="478">
        <f t="shared" si="21"/>
        <v>0</v>
      </c>
      <c r="N110" s="487"/>
      <c r="O110" s="478">
        <f t="shared" si="12"/>
        <v>0</v>
      </c>
      <c r="P110" s="478">
        <f t="shared" si="13"/>
        <v>0</v>
      </c>
    </row>
    <row r="111" spans="1:16">
      <c r="B111" s="160" t="str">
        <f t="shared" si="15"/>
        <v/>
      </c>
      <c r="C111" s="472">
        <f>IF(D93="","-",+C110+1)</f>
        <v>2031</v>
      </c>
      <c r="D111" s="346">
        <f>IF(F110+SUM(E$99:E110)=D$92,F110,D$92-SUM(E$99:E110))</f>
        <v>3643982.75</v>
      </c>
      <c r="E111" s="484">
        <f t="shared" si="16"/>
        <v>120443</v>
      </c>
      <c r="F111" s="485">
        <f t="shared" si="17"/>
        <v>3523539.75</v>
      </c>
      <c r="G111" s="485">
        <f t="shared" si="18"/>
        <v>3583761.25</v>
      </c>
      <c r="H111" s="613">
        <f t="shared" si="19"/>
        <v>506812.76503825403</v>
      </c>
      <c r="I111" s="614">
        <f t="shared" si="20"/>
        <v>506812.76503825403</v>
      </c>
      <c r="J111" s="478">
        <f t="shared" si="14"/>
        <v>0</v>
      </c>
      <c r="K111" s="478"/>
      <c r="L111" s="487"/>
      <c r="M111" s="478">
        <f t="shared" si="21"/>
        <v>0</v>
      </c>
      <c r="N111" s="487"/>
      <c r="O111" s="478">
        <f t="shared" si="12"/>
        <v>0</v>
      </c>
      <c r="P111" s="478">
        <f t="shared" si="13"/>
        <v>0</v>
      </c>
    </row>
    <row r="112" spans="1:16">
      <c r="B112" s="160" t="str">
        <f t="shared" si="15"/>
        <v/>
      </c>
      <c r="C112" s="472">
        <f>IF(D93="","-",+C111+1)</f>
        <v>2032</v>
      </c>
      <c r="D112" s="346">
        <f>IF(F111+SUM(E$99:E111)=D$92,F111,D$92-SUM(E$99:E111))</f>
        <v>3523539.75</v>
      </c>
      <c r="E112" s="484">
        <f t="shared" si="16"/>
        <v>120443</v>
      </c>
      <c r="F112" s="485">
        <f t="shared" si="17"/>
        <v>3403096.75</v>
      </c>
      <c r="G112" s="485">
        <f t="shared" si="18"/>
        <v>3463318.25</v>
      </c>
      <c r="H112" s="613">
        <f t="shared" si="19"/>
        <v>493827.65515949123</v>
      </c>
      <c r="I112" s="614">
        <f t="shared" si="20"/>
        <v>493827.65515949123</v>
      </c>
      <c r="J112" s="478">
        <f t="shared" si="14"/>
        <v>0</v>
      </c>
      <c r="K112" s="478"/>
      <c r="L112" s="487"/>
      <c r="M112" s="478">
        <f t="shared" si="21"/>
        <v>0</v>
      </c>
      <c r="N112" s="487"/>
      <c r="O112" s="478">
        <f t="shared" si="12"/>
        <v>0</v>
      </c>
      <c r="P112" s="478">
        <f t="shared" si="13"/>
        <v>0</v>
      </c>
    </row>
    <row r="113" spans="2:16">
      <c r="B113" s="160" t="str">
        <f t="shared" si="15"/>
        <v/>
      </c>
      <c r="C113" s="472">
        <f>IF(D93="","-",+C112+1)</f>
        <v>2033</v>
      </c>
      <c r="D113" s="346">
        <f>IF(F112+SUM(E$99:E112)=D$92,F112,D$92-SUM(E$99:E112))</f>
        <v>3403096.75</v>
      </c>
      <c r="E113" s="484">
        <f t="shared" si="16"/>
        <v>120443</v>
      </c>
      <c r="F113" s="485">
        <f t="shared" si="17"/>
        <v>3282653.75</v>
      </c>
      <c r="G113" s="485">
        <f t="shared" si="18"/>
        <v>3342875.25</v>
      </c>
      <c r="H113" s="613">
        <f t="shared" si="19"/>
        <v>480842.54528072837</v>
      </c>
      <c r="I113" s="614">
        <f t="shared" si="20"/>
        <v>480842.54528072837</v>
      </c>
      <c r="J113" s="478">
        <f t="shared" si="14"/>
        <v>0</v>
      </c>
      <c r="K113" s="478"/>
      <c r="L113" s="487"/>
      <c r="M113" s="478">
        <f t="shared" si="21"/>
        <v>0</v>
      </c>
      <c r="N113" s="487"/>
      <c r="O113" s="478">
        <f t="shared" si="12"/>
        <v>0</v>
      </c>
      <c r="P113" s="478">
        <f t="shared" si="13"/>
        <v>0</v>
      </c>
    </row>
    <row r="114" spans="2:16">
      <c r="B114" s="160" t="str">
        <f t="shared" si="15"/>
        <v/>
      </c>
      <c r="C114" s="472">
        <f>IF(D93="","-",+C113+1)</f>
        <v>2034</v>
      </c>
      <c r="D114" s="346">
        <f>IF(F113+SUM(E$99:E113)=D$92,F113,D$92-SUM(E$99:E113))</f>
        <v>3282653.75</v>
      </c>
      <c r="E114" s="484">
        <f t="shared" si="16"/>
        <v>120443</v>
      </c>
      <c r="F114" s="485">
        <f t="shared" si="17"/>
        <v>3162210.75</v>
      </c>
      <c r="G114" s="485">
        <f t="shared" si="18"/>
        <v>3222432.25</v>
      </c>
      <c r="H114" s="613">
        <f t="shared" si="19"/>
        <v>467857.43540196557</v>
      </c>
      <c r="I114" s="614">
        <f t="shared" si="20"/>
        <v>467857.43540196557</v>
      </c>
      <c r="J114" s="478">
        <f t="shared" si="14"/>
        <v>0</v>
      </c>
      <c r="K114" s="478"/>
      <c r="L114" s="487"/>
      <c r="M114" s="478">
        <f t="shared" si="21"/>
        <v>0</v>
      </c>
      <c r="N114" s="487"/>
      <c r="O114" s="478">
        <f t="shared" si="12"/>
        <v>0</v>
      </c>
      <c r="P114" s="478">
        <f t="shared" si="13"/>
        <v>0</v>
      </c>
    </row>
    <row r="115" spans="2:16">
      <c r="B115" s="160" t="str">
        <f t="shared" si="15"/>
        <v/>
      </c>
      <c r="C115" s="472">
        <f>IF(D93="","-",+C114+1)</f>
        <v>2035</v>
      </c>
      <c r="D115" s="346">
        <f>IF(F114+SUM(E$99:E114)=D$92,F114,D$92-SUM(E$99:E114))</f>
        <v>3162210.75</v>
      </c>
      <c r="E115" s="484">
        <f t="shared" si="16"/>
        <v>120443</v>
      </c>
      <c r="F115" s="485">
        <f t="shared" si="17"/>
        <v>3041767.75</v>
      </c>
      <c r="G115" s="485">
        <f t="shared" si="18"/>
        <v>3101989.25</v>
      </c>
      <c r="H115" s="613">
        <f t="shared" si="19"/>
        <v>454872.32552320271</v>
      </c>
      <c r="I115" s="614">
        <f t="shared" si="20"/>
        <v>454872.32552320271</v>
      </c>
      <c r="J115" s="478">
        <f t="shared" si="14"/>
        <v>0</v>
      </c>
      <c r="K115" s="478"/>
      <c r="L115" s="487"/>
      <c r="M115" s="478">
        <f t="shared" si="21"/>
        <v>0</v>
      </c>
      <c r="N115" s="487"/>
      <c r="O115" s="478">
        <f t="shared" si="12"/>
        <v>0</v>
      </c>
      <c r="P115" s="478">
        <f t="shared" si="13"/>
        <v>0</v>
      </c>
    </row>
    <row r="116" spans="2:16">
      <c r="B116" s="160" t="str">
        <f t="shared" si="15"/>
        <v/>
      </c>
      <c r="C116" s="472">
        <f>IF(D93="","-",+C115+1)</f>
        <v>2036</v>
      </c>
      <c r="D116" s="346">
        <f>IF(F115+SUM(E$99:E115)=D$92,F115,D$92-SUM(E$99:E115))</f>
        <v>3041767.75</v>
      </c>
      <c r="E116" s="484">
        <f t="shared" si="16"/>
        <v>120443</v>
      </c>
      <c r="F116" s="485">
        <f t="shared" si="17"/>
        <v>2921324.75</v>
      </c>
      <c r="G116" s="485">
        <f t="shared" si="18"/>
        <v>2981546.25</v>
      </c>
      <c r="H116" s="613">
        <f t="shared" si="19"/>
        <v>441887.21564443992</v>
      </c>
      <c r="I116" s="614">
        <f t="shared" si="20"/>
        <v>441887.21564443992</v>
      </c>
      <c r="J116" s="478">
        <f t="shared" si="14"/>
        <v>0</v>
      </c>
      <c r="K116" s="478"/>
      <c r="L116" s="487"/>
      <c r="M116" s="478">
        <f t="shared" si="21"/>
        <v>0</v>
      </c>
      <c r="N116" s="487"/>
      <c r="O116" s="478">
        <f t="shared" si="12"/>
        <v>0</v>
      </c>
      <c r="P116" s="478">
        <f t="shared" si="13"/>
        <v>0</v>
      </c>
    </row>
    <row r="117" spans="2:16">
      <c r="B117" s="160" t="str">
        <f t="shared" si="15"/>
        <v/>
      </c>
      <c r="C117" s="472">
        <f>IF(D93="","-",+C116+1)</f>
        <v>2037</v>
      </c>
      <c r="D117" s="346">
        <f>IF(F116+SUM(E$99:E116)=D$92,F116,D$92-SUM(E$99:E116))</f>
        <v>2921324.75</v>
      </c>
      <c r="E117" s="484">
        <f t="shared" si="16"/>
        <v>120443</v>
      </c>
      <c r="F117" s="485">
        <f t="shared" si="17"/>
        <v>2800881.75</v>
      </c>
      <c r="G117" s="485">
        <f t="shared" si="18"/>
        <v>2861103.25</v>
      </c>
      <c r="H117" s="613">
        <f t="shared" si="19"/>
        <v>428902.10576567706</v>
      </c>
      <c r="I117" s="614">
        <f t="shared" si="20"/>
        <v>428902.10576567706</v>
      </c>
      <c r="J117" s="478">
        <f t="shared" si="14"/>
        <v>0</v>
      </c>
      <c r="K117" s="478"/>
      <c r="L117" s="487"/>
      <c r="M117" s="478">
        <f t="shared" si="21"/>
        <v>0</v>
      </c>
      <c r="N117" s="487"/>
      <c r="O117" s="478">
        <f t="shared" si="12"/>
        <v>0</v>
      </c>
      <c r="P117" s="478">
        <f t="shared" si="13"/>
        <v>0</v>
      </c>
    </row>
    <row r="118" spans="2:16">
      <c r="B118" s="160" t="str">
        <f t="shared" si="15"/>
        <v/>
      </c>
      <c r="C118" s="472">
        <f>IF(D93="","-",+C117+1)</f>
        <v>2038</v>
      </c>
      <c r="D118" s="346">
        <f>IF(F117+SUM(E$99:E117)=D$92,F117,D$92-SUM(E$99:E117))</f>
        <v>2800881.75</v>
      </c>
      <c r="E118" s="484">
        <f t="shared" si="16"/>
        <v>120443</v>
      </c>
      <c r="F118" s="485">
        <f t="shared" si="17"/>
        <v>2680438.75</v>
      </c>
      <c r="G118" s="485">
        <f t="shared" si="18"/>
        <v>2740660.25</v>
      </c>
      <c r="H118" s="613">
        <f t="shared" si="19"/>
        <v>415916.9958869142</v>
      </c>
      <c r="I118" s="614">
        <f t="shared" si="20"/>
        <v>415916.9958869142</v>
      </c>
      <c r="J118" s="478">
        <f t="shared" si="14"/>
        <v>0</v>
      </c>
      <c r="K118" s="478"/>
      <c r="L118" s="487"/>
      <c r="M118" s="478">
        <f t="shared" si="21"/>
        <v>0</v>
      </c>
      <c r="N118" s="487"/>
      <c r="O118" s="478">
        <f t="shared" si="12"/>
        <v>0</v>
      </c>
      <c r="P118" s="478">
        <f t="shared" si="13"/>
        <v>0</v>
      </c>
    </row>
    <row r="119" spans="2:16">
      <c r="B119" s="160" t="str">
        <f t="shared" si="15"/>
        <v/>
      </c>
      <c r="C119" s="472">
        <f>IF(D93="","-",+C118+1)</f>
        <v>2039</v>
      </c>
      <c r="D119" s="346">
        <f>IF(F118+SUM(E$99:E118)=D$92,F118,D$92-SUM(E$99:E118))</f>
        <v>2680438.75</v>
      </c>
      <c r="E119" s="484">
        <f t="shared" si="16"/>
        <v>120443</v>
      </c>
      <c r="F119" s="485">
        <f t="shared" si="17"/>
        <v>2559995.75</v>
      </c>
      <c r="G119" s="485">
        <f t="shared" si="18"/>
        <v>2620217.25</v>
      </c>
      <c r="H119" s="613">
        <f t="shared" si="19"/>
        <v>402931.8860081514</v>
      </c>
      <c r="I119" s="614">
        <f t="shared" si="20"/>
        <v>402931.8860081514</v>
      </c>
      <c r="J119" s="478">
        <f t="shared" si="14"/>
        <v>0</v>
      </c>
      <c r="K119" s="478"/>
      <c r="L119" s="487"/>
      <c r="M119" s="478">
        <f t="shared" si="21"/>
        <v>0</v>
      </c>
      <c r="N119" s="487"/>
      <c r="O119" s="478">
        <f t="shared" si="12"/>
        <v>0</v>
      </c>
      <c r="P119" s="478">
        <f t="shared" si="13"/>
        <v>0</v>
      </c>
    </row>
    <row r="120" spans="2:16">
      <c r="B120" s="160" t="str">
        <f t="shared" si="15"/>
        <v/>
      </c>
      <c r="C120" s="472">
        <f>IF(D93="","-",+C119+1)</f>
        <v>2040</v>
      </c>
      <c r="D120" s="346">
        <f>IF(F119+SUM(E$99:E119)=D$92,F119,D$92-SUM(E$99:E119))</f>
        <v>2559995.75</v>
      </c>
      <c r="E120" s="484">
        <f t="shared" si="16"/>
        <v>120443</v>
      </c>
      <c r="F120" s="485">
        <f t="shared" si="17"/>
        <v>2439552.75</v>
      </c>
      <c r="G120" s="485">
        <f t="shared" si="18"/>
        <v>2499774.25</v>
      </c>
      <c r="H120" s="613">
        <f t="shared" si="19"/>
        <v>389946.77612938854</v>
      </c>
      <c r="I120" s="614">
        <f t="shared" si="20"/>
        <v>389946.77612938854</v>
      </c>
      <c r="J120" s="478">
        <f t="shared" si="14"/>
        <v>0</v>
      </c>
      <c r="K120" s="478"/>
      <c r="L120" s="487"/>
      <c r="M120" s="478">
        <f t="shared" si="21"/>
        <v>0</v>
      </c>
      <c r="N120" s="487"/>
      <c r="O120" s="478">
        <f t="shared" si="12"/>
        <v>0</v>
      </c>
      <c r="P120" s="478">
        <f t="shared" si="13"/>
        <v>0</v>
      </c>
    </row>
    <row r="121" spans="2:16">
      <c r="B121" s="160" t="str">
        <f t="shared" si="15"/>
        <v/>
      </c>
      <c r="C121" s="472">
        <f>IF(D93="","-",+C120+1)</f>
        <v>2041</v>
      </c>
      <c r="D121" s="346">
        <f>IF(F120+SUM(E$99:E120)=D$92,F120,D$92-SUM(E$99:E120))</f>
        <v>2439552.75</v>
      </c>
      <c r="E121" s="484">
        <f t="shared" si="16"/>
        <v>120443</v>
      </c>
      <c r="F121" s="485">
        <f t="shared" si="17"/>
        <v>2319109.75</v>
      </c>
      <c r="G121" s="485">
        <f t="shared" si="18"/>
        <v>2379331.25</v>
      </c>
      <c r="H121" s="613">
        <f t="shared" si="19"/>
        <v>376961.66625062574</v>
      </c>
      <c r="I121" s="614">
        <f t="shared" si="20"/>
        <v>376961.66625062574</v>
      </c>
      <c r="J121" s="478">
        <f t="shared" si="14"/>
        <v>0</v>
      </c>
      <c r="K121" s="478"/>
      <c r="L121" s="487"/>
      <c r="M121" s="478">
        <f t="shared" si="21"/>
        <v>0</v>
      </c>
      <c r="N121" s="487"/>
      <c r="O121" s="478">
        <f t="shared" si="12"/>
        <v>0</v>
      </c>
      <c r="P121" s="478">
        <f t="shared" si="13"/>
        <v>0</v>
      </c>
    </row>
    <row r="122" spans="2:16">
      <c r="B122" s="160" t="str">
        <f t="shared" si="15"/>
        <v/>
      </c>
      <c r="C122" s="472">
        <f>IF(D93="","-",+C121+1)</f>
        <v>2042</v>
      </c>
      <c r="D122" s="346">
        <f>IF(F121+SUM(E$99:E121)=D$92,F121,D$92-SUM(E$99:E121))</f>
        <v>2319109.75</v>
      </c>
      <c r="E122" s="484">
        <f t="shared" si="16"/>
        <v>120443</v>
      </c>
      <c r="F122" s="485">
        <f t="shared" si="17"/>
        <v>2198666.75</v>
      </c>
      <c r="G122" s="485">
        <f t="shared" si="18"/>
        <v>2258888.25</v>
      </c>
      <c r="H122" s="613">
        <f t="shared" si="19"/>
        <v>363976.55637186288</v>
      </c>
      <c r="I122" s="614">
        <f t="shared" si="20"/>
        <v>363976.55637186288</v>
      </c>
      <c r="J122" s="478">
        <f t="shared" si="14"/>
        <v>0</v>
      </c>
      <c r="K122" s="478"/>
      <c r="L122" s="487"/>
      <c r="M122" s="478">
        <f t="shared" si="21"/>
        <v>0</v>
      </c>
      <c r="N122" s="487"/>
      <c r="O122" s="478">
        <f t="shared" si="12"/>
        <v>0</v>
      </c>
      <c r="P122" s="478">
        <f t="shared" si="13"/>
        <v>0</v>
      </c>
    </row>
    <row r="123" spans="2:16">
      <c r="B123" s="160" t="str">
        <f t="shared" si="15"/>
        <v/>
      </c>
      <c r="C123" s="472">
        <f>IF(D93="","-",+C122+1)</f>
        <v>2043</v>
      </c>
      <c r="D123" s="346">
        <f>IF(F122+SUM(E$99:E122)=D$92,F122,D$92-SUM(E$99:E122))</f>
        <v>2198666.75</v>
      </c>
      <c r="E123" s="484">
        <f t="shared" si="16"/>
        <v>120443</v>
      </c>
      <c r="F123" s="485">
        <f t="shared" si="17"/>
        <v>2078223.75</v>
      </c>
      <c r="G123" s="485">
        <f t="shared" si="18"/>
        <v>2138445.25</v>
      </c>
      <c r="H123" s="613">
        <f t="shared" si="19"/>
        <v>350991.44649310008</v>
      </c>
      <c r="I123" s="614">
        <f t="shared" si="20"/>
        <v>350991.44649310008</v>
      </c>
      <c r="J123" s="478">
        <f t="shared" si="14"/>
        <v>0</v>
      </c>
      <c r="K123" s="478"/>
      <c r="L123" s="487"/>
      <c r="M123" s="478">
        <f t="shared" si="21"/>
        <v>0</v>
      </c>
      <c r="N123" s="487"/>
      <c r="O123" s="478">
        <f t="shared" si="12"/>
        <v>0</v>
      </c>
      <c r="P123" s="478">
        <f t="shared" si="13"/>
        <v>0</v>
      </c>
    </row>
    <row r="124" spans="2:16">
      <c r="B124" s="160" t="str">
        <f t="shared" si="15"/>
        <v/>
      </c>
      <c r="C124" s="472">
        <f>IF(D93="","-",+C123+1)</f>
        <v>2044</v>
      </c>
      <c r="D124" s="346">
        <f>IF(F123+SUM(E$99:E123)=D$92,F123,D$92-SUM(E$99:E123))</f>
        <v>2078223.75</v>
      </c>
      <c r="E124" s="484">
        <f t="shared" si="16"/>
        <v>120443</v>
      </c>
      <c r="F124" s="485">
        <f t="shared" si="17"/>
        <v>1957780.75</v>
      </c>
      <c r="G124" s="485">
        <f t="shared" si="18"/>
        <v>2018002.25</v>
      </c>
      <c r="H124" s="613">
        <f t="shared" si="19"/>
        <v>338006.33661433728</v>
      </c>
      <c r="I124" s="614">
        <f t="shared" si="20"/>
        <v>338006.33661433728</v>
      </c>
      <c r="J124" s="478">
        <f t="shared" si="14"/>
        <v>0</v>
      </c>
      <c r="K124" s="478"/>
      <c r="L124" s="487"/>
      <c r="M124" s="478">
        <f t="shared" si="21"/>
        <v>0</v>
      </c>
      <c r="N124" s="487"/>
      <c r="O124" s="478">
        <f t="shared" si="12"/>
        <v>0</v>
      </c>
      <c r="P124" s="478">
        <f t="shared" si="13"/>
        <v>0</v>
      </c>
    </row>
    <row r="125" spans="2:16">
      <c r="B125" s="160" t="str">
        <f t="shared" si="15"/>
        <v/>
      </c>
      <c r="C125" s="472">
        <f>IF(D93="","-",+C124+1)</f>
        <v>2045</v>
      </c>
      <c r="D125" s="346">
        <f>IF(F124+SUM(E$99:E124)=D$92,F124,D$92-SUM(E$99:E124))</f>
        <v>1957780.75</v>
      </c>
      <c r="E125" s="484">
        <f t="shared" si="16"/>
        <v>120443</v>
      </c>
      <c r="F125" s="485">
        <f t="shared" si="17"/>
        <v>1837337.75</v>
      </c>
      <c r="G125" s="485">
        <f t="shared" si="18"/>
        <v>1897559.25</v>
      </c>
      <c r="H125" s="613">
        <f t="shared" si="19"/>
        <v>325021.22673557443</v>
      </c>
      <c r="I125" s="614">
        <f t="shared" si="20"/>
        <v>325021.22673557443</v>
      </c>
      <c r="J125" s="478">
        <f t="shared" si="14"/>
        <v>0</v>
      </c>
      <c r="K125" s="478"/>
      <c r="L125" s="487"/>
      <c r="M125" s="478">
        <f t="shared" si="21"/>
        <v>0</v>
      </c>
      <c r="N125" s="487"/>
      <c r="O125" s="478">
        <f t="shared" si="12"/>
        <v>0</v>
      </c>
      <c r="P125" s="478">
        <f t="shared" si="13"/>
        <v>0</v>
      </c>
    </row>
    <row r="126" spans="2:16">
      <c r="B126" s="160" t="str">
        <f t="shared" si="15"/>
        <v/>
      </c>
      <c r="C126" s="472">
        <f>IF(D93="","-",+C125+1)</f>
        <v>2046</v>
      </c>
      <c r="D126" s="346">
        <f>IF(F125+SUM(E$99:E125)=D$92,F125,D$92-SUM(E$99:E125))</f>
        <v>1837337.75</v>
      </c>
      <c r="E126" s="484">
        <f t="shared" si="16"/>
        <v>120443</v>
      </c>
      <c r="F126" s="485">
        <f t="shared" si="17"/>
        <v>1716894.75</v>
      </c>
      <c r="G126" s="485">
        <f t="shared" si="18"/>
        <v>1777116.25</v>
      </c>
      <c r="H126" s="613">
        <f t="shared" si="19"/>
        <v>312036.11685681157</v>
      </c>
      <c r="I126" s="614">
        <f t="shared" si="20"/>
        <v>312036.11685681157</v>
      </c>
      <c r="J126" s="478">
        <f t="shared" si="14"/>
        <v>0</v>
      </c>
      <c r="K126" s="478"/>
      <c r="L126" s="487"/>
      <c r="M126" s="478">
        <f t="shared" si="21"/>
        <v>0</v>
      </c>
      <c r="N126" s="487"/>
      <c r="O126" s="478">
        <f t="shared" si="12"/>
        <v>0</v>
      </c>
      <c r="P126" s="478">
        <f t="shared" si="13"/>
        <v>0</v>
      </c>
    </row>
    <row r="127" spans="2:16">
      <c r="B127" s="160" t="str">
        <f t="shared" si="15"/>
        <v/>
      </c>
      <c r="C127" s="472">
        <f>IF(D93="","-",+C126+1)</f>
        <v>2047</v>
      </c>
      <c r="D127" s="346">
        <f>IF(F126+SUM(E$99:E126)=D$92,F126,D$92-SUM(E$99:E126))</f>
        <v>1716894.75</v>
      </c>
      <c r="E127" s="484">
        <f t="shared" si="16"/>
        <v>120443</v>
      </c>
      <c r="F127" s="485">
        <f t="shared" si="17"/>
        <v>1596451.75</v>
      </c>
      <c r="G127" s="485">
        <f t="shared" si="18"/>
        <v>1656673.25</v>
      </c>
      <c r="H127" s="613">
        <f t="shared" si="19"/>
        <v>299051.00697804871</v>
      </c>
      <c r="I127" s="614">
        <f t="shared" si="20"/>
        <v>299051.00697804871</v>
      </c>
      <c r="J127" s="478">
        <f t="shared" si="14"/>
        <v>0</v>
      </c>
      <c r="K127" s="478"/>
      <c r="L127" s="487"/>
      <c r="M127" s="478">
        <f t="shared" si="21"/>
        <v>0</v>
      </c>
      <c r="N127" s="487"/>
      <c r="O127" s="478">
        <f t="shared" si="12"/>
        <v>0</v>
      </c>
      <c r="P127" s="478">
        <f t="shared" si="13"/>
        <v>0</v>
      </c>
    </row>
    <row r="128" spans="2:16">
      <c r="B128" s="160" t="str">
        <f t="shared" si="15"/>
        <v/>
      </c>
      <c r="C128" s="472">
        <f>IF(D93="","-",+C127+1)</f>
        <v>2048</v>
      </c>
      <c r="D128" s="346">
        <f>IF(F127+SUM(E$99:E127)=D$92,F127,D$92-SUM(E$99:E127))</f>
        <v>1596451.75</v>
      </c>
      <c r="E128" s="484">
        <f t="shared" si="16"/>
        <v>120443</v>
      </c>
      <c r="F128" s="485">
        <f t="shared" si="17"/>
        <v>1476008.75</v>
      </c>
      <c r="G128" s="485">
        <f t="shared" si="18"/>
        <v>1536230.25</v>
      </c>
      <c r="H128" s="613">
        <f t="shared" si="19"/>
        <v>286065.89709928591</v>
      </c>
      <c r="I128" s="614">
        <f t="shared" si="20"/>
        <v>286065.89709928591</v>
      </c>
      <c r="J128" s="478">
        <f t="shared" si="14"/>
        <v>0</v>
      </c>
      <c r="K128" s="478"/>
      <c r="L128" s="487"/>
      <c r="M128" s="478">
        <f t="shared" si="21"/>
        <v>0</v>
      </c>
      <c r="N128" s="487"/>
      <c r="O128" s="478">
        <f t="shared" si="12"/>
        <v>0</v>
      </c>
      <c r="P128" s="478">
        <f t="shared" si="13"/>
        <v>0</v>
      </c>
    </row>
    <row r="129" spans="2:16">
      <c r="B129" s="160" t="str">
        <f t="shared" si="15"/>
        <v/>
      </c>
      <c r="C129" s="472">
        <f>IF(D93="","-",+C128+1)</f>
        <v>2049</v>
      </c>
      <c r="D129" s="346">
        <f>IF(F128+SUM(E$99:E128)=D$92,F128,D$92-SUM(E$99:E128))</f>
        <v>1476008.75</v>
      </c>
      <c r="E129" s="484">
        <f t="shared" si="16"/>
        <v>120443</v>
      </c>
      <c r="F129" s="485">
        <f t="shared" si="17"/>
        <v>1355565.75</v>
      </c>
      <c r="G129" s="485">
        <f t="shared" si="18"/>
        <v>1415787.25</v>
      </c>
      <c r="H129" s="613">
        <f t="shared" si="19"/>
        <v>273080.78722052311</v>
      </c>
      <c r="I129" s="614">
        <f t="shared" si="20"/>
        <v>273080.78722052311</v>
      </c>
      <c r="J129" s="478">
        <f t="shared" si="14"/>
        <v>0</v>
      </c>
      <c r="K129" s="478"/>
      <c r="L129" s="487"/>
      <c r="M129" s="478">
        <f t="shared" si="21"/>
        <v>0</v>
      </c>
      <c r="N129" s="487"/>
      <c r="O129" s="478">
        <f t="shared" si="12"/>
        <v>0</v>
      </c>
      <c r="P129" s="478">
        <f t="shared" si="13"/>
        <v>0</v>
      </c>
    </row>
    <row r="130" spans="2:16">
      <c r="B130" s="160" t="str">
        <f t="shared" si="15"/>
        <v/>
      </c>
      <c r="C130" s="472">
        <f>IF(D93="","-",+C129+1)</f>
        <v>2050</v>
      </c>
      <c r="D130" s="346">
        <f>IF(F129+SUM(E$99:E129)=D$92,F129,D$92-SUM(E$99:E129))</f>
        <v>1355565.75</v>
      </c>
      <c r="E130" s="484">
        <f t="shared" si="16"/>
        <v>120443</v>
      </c>
      <c r="F130" s="485">
        <f t="shared" si="17"/>
        <v>1235122.75</v>
      </c>
      <c r="G130" s="485">
        <f t="shared" si="18"/>
        <v>1295344.25</v>
      </c>
      <c r="H130" s="613">
        <f t="shared" si="19"/>
        <v>260095.67734176025</v>
      </c>
      <c r="I130" s="614">
        <f t="shared" si="20"/>
        <v>260095.67734176025</v>
      </c>
      <c r="J130" s="478">
        <f t="shared" si="14"/>
        <v>0</v>
      </c>
      <c r="K130" s="478"/>
      <c r="L130" s="487"/>
      <c r="M130" s="478">
        <f t="shared" si="21"/>
        <v>0</v>
      </c>
      <c r="N130" s="487"/>
      <c r="O130" s="478">
        <f t="shared" si="12"/>
        <v>0</v>
      </c>
      <c r="P130" s="478">
        <f t="shared" si="13"/>
        <v>0</v>
      </c>
    </row>
    <row r="131" spans="2:16">
      <c r="B131" s="160" t="str">
        <f t="shared" si="15"/>
        <v/>
      </c>
      <c r="C131" s="472">
        <f>IF(D93="","-",+C130+1)</f>
        <v>2051</v>
      </c>
      <c r="D131" s="346">
        <f>IF(F130+SUM(E$99:E130)=D$92,F130,D$92-SUM(E$99:E130))</f>
        <v>1235122.75</v>
      </c>
      <c r="E131" s="484">
        <f t="shared" si="16"/>
        <v>120443</v>
      </c>
      <c r="F131" s="485">
        <f t="shared" si="17"/>
        <v>1114679.75</v>
      </c>
      <c r="G131" s="485">
        <f t="shared" si="18"/>
        <v>1174901.25</v>
      </c>
      <c r="H131" s="613">
        <f t="shared" si="19"/>
        <v>247110.56746299742</v>
      </c>
      <c r="I131" s="614">
        <f t="shared" si="20"/>
        <v>247110.56746299742</v>
      </c>
      <c r="J131" s="478">
        <f t="shared" ref="J131:J154" si="22">+I541-H541</f>
        <v>0</v>
      </c>
      <c r="K131" s="478"/>
      <c r="L131" s="487"/>
      <c r="M131" s="478">
        <f t="shared" ref="M131:M154" si="23">IF(L541&lt;&gt;0,+H541-L541,0)</f>
        <v>0</v>
      </c>
      <c r="N131" s="487"/>
      <c r="O131" s="478">
        <f t="shared" ref="O131:O154" si="24">IF(N541&lt;&gt;0,+I541-N541,0)</f>
        <v>0</v>
      </c>
      <c r="P131" s="478">
        <f t="shared" ref="P131:P154" si="25">+O541-M541</f>
        <v>0</v>
      </c>
    </row>
    <row r="132" spans="2:16">
      <c r="B132" s="160" t="str">
        <f t="shared" si="15"/>
        <v/>
      </c>
      <c r="C132" s="472">
        <f>IF(D93="","-",+C131+1)</f>
        <v>2052</v>
      </c>
      <c r="D132" s="346">
        <f>IF(F131+SUM(E$99:E131)=D$92,F131,D$92-SUM(E$99:E131))</f>
        <v>1114679.75</v>
      </c>
      <c r="E132" s="484">
        <f t="shared" si="16"/>
        <v>120443</v>
      </c>
      <c r="F132" s="485">
        <f t="shared" si="17"/>
        <v>994236.75</v>
      </c>
      <c r="G132" s="485">
        <f t="shared" si="18"/>
        <v>1054458.25</v>
      </c>
      <c r="H132" s="613">
        <f t="shared" si="19"/>
        <v>234125.45758423459</v>
      </c>
      <c r="I132" s="614">
        <f t="shared" si="20"/>
        <v>234125.45758423459</v>
      </c>
      <c r="J132" s="478">
        <f t="shared" si="22"/>
        <v>0</v>
      </c>
      <c r="K132" s="478"/>
      <c r="L132" s="487"/>
      <c r="M132" s="478">
        <f t="shared" si="23"/>
        <v>0</v>
      </c>
      <c r="N132" s="487"/>
      <c r="O132" s="478">
        <f t="shared" si="24"/>
        <v>0</v>
      </c>
      <c r="P132" s="478">
        <f t="shared" si="25"/>
        <v>0</v>
      </c>
    </row>
    <row r="133" spans="2:16">
      <c r="B133" s="160" t="str">
        <f t="shared" si="15"/>
        <v/>
      </c>
      <c r="C133" s="472">
        <f>IF(D93="","-",+C132+1)</f>
        <v>2053</v>
      </c>
      <c r="D133" s="346">
        <f>IF(F132+SUM(E$99:E132)=D$92,F132,D$92-SUM(E$99:E132))</f>
        <v>994236.75</v>
      </c>
      <c r="E133" s="484">
        <f t="shared" si="16"/>
        <v>120443</v>
      </c>
      <c r="F133" s="485">
        <f t="shared" si="17"/>
        <v>873793.75</v>
      </c>
      <c r="G133" s="485">
        <f t="shared" si="18"/>
        <v>934015.25</v>
      </c>
      <c r="H133" s="613">
        <f t="shared" si="19"/>
        <v>221140.34770547177</v>
      </c>
      <c r="I133" s="614">
        <f t="shared" si="20"/>
        <v>221140.34770547177</v>
      </c>
      <c r="J133" s="478">
        <f t="shared" si="22"/>
        <v>0</v>
      </c>
      <c r="K133" s="478"/>
      <c r="L133" s="487"/>
      <c r="M133" s="478">
        <f t="shared" si="23"/>
        <v>0</v>
      </c>
      <c r="N133" s="487"/>
      <c r="O133" s="478">
        <f t="shared" si="24"/>
        <v>0</v>
      </c>
      <c r="P133" s="478">
        <f t="shared" si="25"/>
        <v>0</v>
      </c>
    </row>
    <row r="134" spans="2:16">
      <c r="B134" s="160" t="str">
        <f t="shared" si="15"/>
        <v/>
      </c>
      <c r="C134" s="472">
        <f>IF(D93="","-",+C133+1)</f>
        <v>2054</v>
      </c>
      <c r="D134" s="346">
        <f>IF(F133+SUM(E$99:E133)=D$92,F133,D$92-SUM(E$99:E133))</f>
        <v>873793.75</v>
      </c>
      <c r="E134" s="484">
        <f t="shared" si="16"/>
        <v>120443</v>
      </c>
      <c r="F134" s="485">
        <f t="shared" si="17"/>
        <v>753350.75</v>
      </c>
      <c r="G134" s="485">
        <f t="shared" si="18"/>
        <v>813572.25</v>
      </c>
      <c r="H134" s="613">
        <f t="shared" si="19"/>
        <v>208155.23782670894</v>
      </c>
      <c r="I134" s="614">
        <f t="shared" si="20"/>
        <v>208155.23782670894</v>
      </c>
      <c r="J134" s="478">
        <f t="shared" si="22"/>
        <v>0</v>
      </c>
      <c r="K134" s="478"/>
      <c r="L134" s="487"/>
      <c r="M134" s="478">
        <f t="shared" si="23"/>
        <v>0</v>
      </c>
      <c r="N134" s="487"/>
      <c r="O134" s="478">
        <f t="shared" si="24"/>
        <v>0</v>
      </c>
      <c r="P134" s="478">
        <f t="shared" si="25"/>
        <v>0</v>
      </c>
    </row>
    <row r="135" spans="2:16">
      <c r="B135" s="160" t="str">
        <f t="shared" si="15"/>
        <v/>
      </c>
      <c r="C135" s="472">
        <f>IF(D93="","-",+C134+1)</f>
        <v>2055</v>
      </c>
      <c r="D135" s="346">
        <f>IF(F134+SUM(E$99:E134)=D$92,F134,D$92-SUM(E$99:E134))</f>
        <v>753350.75</v>
      </c>
      <c r="E135" s="484">
        <f t="shared" si="16"/>
        <v>120443</v>
      </c>
      <c r="F135" s="485">
        <f t="shared" si="17"/>
        <v>632907.75</v>
      </c>
      <c r="G135" s="485">
        <f t="shared" si="18"/>
        <v>693129.25</v>
      </c>
      <c r="H135" s="613">
        <f t="shared" si="19"/>
        <v>195170.12794794608</v>
      </c>
      <c r="I135" s="614">
        <f t="shared" si="20"/>
        <v>195170.12794794608</v>
      </c>
      <c r="J135" s="478">
        <f t="shared" si="22"/>
        <v>0</v>
      </c>
      <c r="K135" s="478"/>
      <c r="L135" s="487"/>
      <c r="M135" s="478">
        <f t="shared" si="23"/>
        <v>0</v>
      </c>
      <c r="N135" s="487"/>
      <c r="O135" s="478">
        <f t="shared" si="24"/>
        <v>0</v>
      </c>
      <c r="P135" s="478">
        <f t="shared" si="25"/>
        <v>0</v>
      </c>
    </row>
    <row r="136" spans="2:16">
      <c r="B136" s="160" t="str">
        <f t="shared" si="15"/>
        <v/>
      </c>
      <c r="C136" s="472">
        <f>IF(D93="","-",+C135+1)</f>
        <v>2056</v>
      </c>
      <c r="D136" s="346">
        <f>IF(F135+SUM(E$99:E135)=D$92,F135,D$92-SUM(E$99:E135))</f>
        <v>632907.75</v>
      </c>
      <c r="E136" s="484">
        <f t="shared" si="16"/>
        <v>120443</v>
      </c>
      <c r="F136" s="485">
        <f t="shared" si="17"/>
        <v>512464.75</v>
      </c>
      <c r="G136" s="485">
        <f t="shared" si="18"/>
        <v>572686.25</v>
      </c>
      <c r="H136" s="613">
        <f t="shared" si="19"/>
        <v>182185.01806918328</v>
      </c>
      <c r="I136" s="614">
        <f t="shared" si="20"/>
        <v>182185.01806918328</v>
      </c>
      <c r="J136" s="478">
        <f t="shared" si="22"/>
        <v>0</v>
      </c>
      <c r="K136" s="478"/>
      <c r="L136" s="487"/>
      <c r="M136" s="478">
        <f t="shared" si="23"/>
        <v>0</v>
      </c>
      <c r="N136" s="487"/>
      <c r="O136" s="478">
        <f t="shared" si="24"/>
        <v>0</v>
      </c>
      <c r="P136" s="478">
        <f t="shared" si="25"/>
        <v>0</v>
      </c>
    </row>
    <row r="137" spans="2:16">
      <c r="B137" s="160" t="str">
        <f t="shared" si="15"/>
        <v/>
      </c>
      <c r="C137" s="472">
        <f>IF(D93="","-",+C136+1)</f>
        <v>2057</v>
      </c>
      <c r="D137" s="346">
        <f>IF(F136+SUM(E$99:E136)=D$92,F136,D$92-SUM(E$99:E136))</f>
        <v>512464.75</v>
      </c>
      <c r="E137" s="484">
        <f t="shared" si="16"/>
        <v>120443</v>
      </c>
      <c r="F137" s="485">
        <f t="shared" si="17"/>
        <v>392021.75</v>
      </c>
      <c r="G137" s="485">
        <f t="shared" si="18"/>
        <v>452243.25</v>
      </c>
      <c r="H137" s="613">
        <f t="shared" si="19"/>
        <v>169199.90819042042</v>
      </c>
      <c r="I137" s="614">
        <f t="shared" si="20"/>
        <v>169199.90819042042</v>
      </c>
      <c r="J137" s="478">
        <f t="shared" si="22"/>
        <v>0</v>
      </c>
      <c r="K137" s="478"/>
      <c r="L137" s="487"/>
      <c r="M137" s="478">
        <f t="shared" si="23"/>
        <v>0</v>
      </c>
      <c r="N137" s="487"/>
      <c r="O137" s="478">
        <f t="shared" si="24"/>
        <v>0</v>
      </c>
      <c r="P137" s="478">
        <f t="shared" si="25"/>
        <v>0</v>
      </c>
    </row>
    <row r="138" spans="2:16">
      <c r="B138" s="160" t="str">
        <f t="shared" si="15"/>
        <v/>
      </c>
      <c r="C138" s="472">
        <f>IF(D93="","-",+C137+1)</f>
        <v>2058</v>
      </c>
      <c r="D138" s="346">
        <f>IF(F137+SUM(E$99:E137)=D$92,F137,D$92-SUM(E$99:E137))</f>
        <v>392021.75</v>
      </c>
      <c r="E138" s="484">
        <f t="shared" si="16"/>
        <v>120443</v>
      </c>
      <c r="F138" s="485">
        <f t="shared" si="17"/>
        <v>271578.75</v>
      </c>
      <c r="G138" s="485">
        <f t="shared" si="18"/>
        <v>331800.25</v>
      </c>
      <c r="H138" s="613">
        <f t="shared" si="19"/>
        <v>156214.79831165762</v>
      </c>
      <c r="I138" s="614">
        <f t="shared" si="20"/>
        <v>156214.79831165762</v>
      </c>
      <c r="J138" s="478">
        <f t="shared" si="22"/>
        <v>0</v>
      </c>
      <c r="K138" s="478"/>
      <c r="L138" s="487"/>
      <c r="M138" s="478">
        <f t="shared" si="23"/>
        <v>0</v>
      </c>
      <c r="N138" s="487"/>
      <c r="O138" s="478">
        <f t="shared" si="24"/>
        <v>0</v>
      </c>
      <c r="P138" s="478">
        <f t="shared" si="25"/>
        <v>0</v>
      </c>
    </row>
    <row r="139" spans="2:16">
      <c r="B139" s="160" t="str">
        <f t="shared" si="15"/>
        <v/>
      </c>
      <c r="C139" s="472">
        <f>IF(D93="","-",+C138+1)</f>
        <v>2059</v>
      </c>
      <c r="D139" s="346">
        <f>IF(F138+SUM(E$99:E138)=D$92,F138,D$92-SUM(E$99:E138))</f>
        <v>271578.75</v>
      </c>
      <c r="E139" s="484">
        <f t="shared" si="16"/>
        <v>120443</v>
      </c>
      <c r="F139" s="485">
        <f t="shared" si="17"/>
        <v>151135.75</v>
      </c>
      <c r="G139" s="485">
        <f t="shared" si="18"/>
        <v>211357.25</v>
      </c>
      <c r="H139" s="613">
        <f t="shared" si="19"/>
        <v>143229.68843289476</v>
      </c>
      <c r="I139" s="614">
        <f t="shared" si="20"/>
        <v>143229.68843289476</v>
      </c>
      <c r="J139" s="478">
        <f t="shared" si="22"/>
        <v>0</v>
      </c>
      <c r="K139" s="478"/>
      <c r="L139" s="487"/>
      <c r="M139" s="478">
        <f t="shared" si="23"/>
        <v>0</v>
      </c>
      <c r="N139" s="487"/>
      <c r="O139" s="478">
        <f t="shared" si="24"/>
        <v>0</v>
      </c>
      <c r="P139" s="478">
        <f t="shared" si="25"/>
        <v>0</v>
      </c>
    </row>
    <row r="140" spans="2:16">
      <c r="B140" s="160" t="str">
        <f t="shared" si="15"/>
        <v/>
      </c>
      <c r="C140" s="472">
        <f>IF(D93="","-",+C139+1)</f>
        <v>2060</v>
      </c>
      <c r="D140" s="346">
        <f>IF(F139+SUM(E$99:E139)=D$92,F139,D$92-SUM(E$99:E139))</f>
        <v>151135.75</v>
      </c>
      <c r="E140" s="484">
        <f t="shared" si="16"/>
        <v>120443</v>
      </c>
      <c r="F140" s="485">
        <f t="shared" si="17"/>
        <v>30692.75</v>
      </c>
      <c r="G140" s="485">
        <f t="shared" si="18"/>
        <v>90914.25</v>
      </c>
      <c r="H140" s="613">
        <f t="shared" si="19"/>
        <v>130244.57855413195</v>
      </c>
      <c r="I140" s="614">
        <f t="shared" si="20"/>
        <v>130244.57855413195</v>
      </c>
      <c r="J140" s="478">
        <f t="shared" si="22"/>
        <v>0</v>
      </c>
      <c r="K140" s="478"/>
      <c r="L140" s="487"/>
      <c r="M140" s="478">
        <f t="shared" si="23"/>
        <v>0</v>
      </c>
      <c r="N140" s="487"/>
      <c r="O140" s="478">
        <f t="shared" si="24"/>
        <v>0</v>
      </c>
      <c r="P140" s="478">
        <f t="shared" si="25"/>
        <v>0</v>
      </c>
    </row>
    <row r="141" spans="2:16">
      <c r="B141" s="160" t="str">
        <f t="shared" si="15"/>
        <v/>
      </c>
      <c r="C141" s="472">
        <f>IF(D93="","-",+C140+1)</f>
        <v>2061</v>
      </c>
      <c r="D141" s="346">
        <f>IF(F140+SUM(E$99:E140)=D$92,F140,D$92-SUM(E$99:E140))</f>
        <v>30692.75</v>
      </c>
      <c r="E141" s="484">
        <f t="shared" si="16"/>
        <v>30692.75</v>
      </c>
      <c r="F141" s="485">
        <f t="shared" si="17"/>
        <v>0</v>
      </c>
      <c r="G141" s="485">
        <f t="shared" si="18"/>
        <v>15346.375</v>
      </c>
      <c r="H141" s="613">
        <f t="shared" si="19"/>
        <v>32347.261807375264</v>
      </c>
      <c r="I141" s="614">
        <f t="shared" si="20"/>
        <v>32347.261807375264</v>
      </c>
      <c r="J141" s="478">
        <f t="shared" si="22"/>
        <v>0</v>
      </c>
      <c r="K141" s="478"/>
      <c r="L141" s="487"/>
      <c r="M141" s="478">
        <f t="shared" si="23"/>
        <v>0</v>
      </c>
      <c r="N141" s="487"/>
      <c r="O141" s="478">
        <f t="shared" si="24"/>
        <v>0</v>
      </c>
      <c r="P141" s="478">
        <f t="shared" si="25"/>
        <v>0</v>
      </c>
    </row>
    <row r="142" spans="2:16">
      <c r="B142" s="160" t="str">
        <f t="shared" si="15"/>
        <v/>
      </c>
      <c r="C142" s="472">
        <f>IF(D93="","-",+C141+1)</f>
        <v>2062</v>
      </c>
      <c r="D142" s="346">
        <f>IF(F141+SUM(E$99:E141)=D$92,F141,D$92-SUM(E$99:E141))</f>
        <v>0</v>
      </c>
      <c r="E142" s="484">
        <f t="shared" si="16"/>
        <v>0</v>
      </c>
      <c r="F142" s="485">
        <f t="shared" si="17"/>
        <v>0</v>
      </c>
      <c r="G142" s="485">
        <f t="shared" si="18"/>
        <v>0</v>
      </c>
      <c r="H142" s="613">
        <f t="shared" si="19"/>
        <v>0</v>
      </c>
      <c r="I142" s="614">
        <f t="shared" si="20"/>
        <v>0</v>
      </c>
      <c r="J142" s="478">
        <f t="shared" si="22"/>
        <v>0</v>
      </c>
      <c r="K142" s="478"/>
      <c r="L142" s="487"/>
      <c r="M142" s="478">
        <f t="shared" si="23"/>
        <v>0</v>
      </c>
      <c r="N142" s="487"/>
      <c r="O142" s="478">
        <f t="shared" si="24"/>
        <v>0</v>
      </c>
      <c r="P142" s="478">
        <f t="shared" si="25"/>
        <v>0</v>
      </c>
    </row>
    <row r="143" spans="2:16">
      <c r="B143" s="160" t="str">
        <f t="shared" si="15"/>
        <v/>
      </c>
      <c r="C143" s="472">
        <f>IF(D93="","-",+C142+1)</f>
        <v>2063</v>
      </c>
      <c r="D143" s="346">
        <f>IF(F142+SUM(E$99:E142)=D$92,F142,D$92-SUM(E$99:E142))</f>
        <v>0</v>
      </c>
      <c r="E143" s="484">
        <f t="shared" si="16"/>
        <v>0</v>
      </c>
      <c r="F143" s="485">
        <f t="shared" si="17"/>
        <v>0</v>
      </c>
      <c r="G143" s="485">
        <f t="shared" si="18"/>
        <v>0</v>
      </c>
      <c r="H143" s="613">
        <f t="shared" si="19"/>
        <v>0</v>
      </c>
      <c r="I143" s="614">
        <f t="shared" si="20"/>
        <v>0</v>
      </c>
      <c r="J143" s="478">
        <f t="shared" si="22"/>
        <v>0</v>
      </c>
      <c r="K143" s="478"/>
      <c r="L143" s="487"/>
      <c r="M143" s="478">
        <f t="shared" si="23"/>
        <v>0</v>
      </c>
      <c r="N143" s="487"/>
      <c r="O143" s="478">
        <f t="shared" si="24"/>
        <v>0</v>
      </c>
      <c r="P143" s="478">
        <f t="shared" si="25"/>
        <v>0</v>
      </c>
    </row>
    <row r="144" spans="2:16">
      <c r="B144" s="160" t="str">
        <f t="shared" si="15"/>
        <v/>
      </c>
      <c r="C144" s="472">
        <f>IF(D93="","-",+C143+1)</f>
        <v>2064</v>
      </c>
      <c r="D144" s="346">
        <f>IF(F143+SUM(E$99:E143)=D$92,F143,D$92-SUM(E$99:E143))</f>
        <v>0</v>
      </c>
      <c r="E144" s="484">
        <f t="shared" si="16"/>
        <v>0</v>
      </c>
      <c r="F144" s="485">
        <f t="shared" si="17"/>
        <v>0</v>
      </c>
      <c r="G144" s="485">
        <f t="shared" si="18"/>
        <v>0</v>
      </c>
      <c r="H144" s="613">
        <f t="shared" si="19"/>
        <v>0</v>
      </c>
      <c r="I144" s="614">
        <f t="shared" si="20"/>
        <v>0</v>
      </c>
      <c r="J144" s="478">
        <f t="shared" si="22"/>
        <v>0</v>
      </c>
      <c r="K144" s="478"/>
      <c r="L144" s="487"/>
      <c r="M144" s="478">
        <f t="shared" si="23"/>
        <v>0</v>
      </c>
      <c r="N144" s="487"/>
      <c r="O144" s="478">
        <f t="shared" si="24"/>
        <v>0</v>
      </c>
      <c r="P144" s="478">
        <f t="shared" si="25"/>
        <v>0</v>
      </c>
    </row>
    <row r="145" spans="2:16">
      <c r="B145" s="160" t="str">
        <f t="shared" si="15"/>
        <v/>
      </c>
      <c r="C145" s="472">
        <f>IF(D93="","-",+C144+1)</f>
        <v>2065</v>
      </c>
      <c r="D145" s="346">
        <f>IF(F144+SUM(E$99:E144)=D$92,F144,D$92-SUM(E$99:E144))</f>
        <v>0</v>
      </c>
      <c r="E145" s="484">
        <f t="shared" si="16"/>
        <v>0</v>
      </c>
      <c r="F145" s="485">
        <f t="shared" si="17"/>
        <v>0</v>
      </c>
      <c r="G145" s="485">
        <f t="shared" si="18"/>
        <v>0</v>
      </c>
      <c r="H145" s="613">
        <f t="shared" si="19"/>
        <v>0</v>
      </c>
      <c r="I145" s="614">
        <f t="shared" si="20"/>
        <v>0</v>
      </c>
      <c r="J145" s="478">
        <f t="shared" si="22"/>
        <v>0</v>
      </c>
      <c r="K145" s="478"/>
      <c r="L145" s="487"/>
      <c r="M145" s="478">
        <f t="shared" si="23"/>
        <v>0</v>
      </c>
      <c r="N145" s="487"/>
      <c r="O145" s="478">
        <f t="shared" si="24"/>
        <v>0</v>
      </c>
      <c r="P145" s="478">
        <f t="shared" si="25"/>
        <v>0</v>
      </c>
    </row>
    <row r="146" spans="2:16">
      <c r="B146" s="160" t="str">
        <f t="shared" si="15"/>
        <v/>
      </c>
      <c r="C146" s="472">
        <f>IF(D93="","-",+C145+1)</f>
        <v>2066</v>
      </c>
      <c r="D146" s="346">
        <f>IF(F145+SUM(E$99:E145)=D$92,F145,D$92-SUM(E$99:E145))</f>
        <v>0</v>
      </c>
      <c r="E146" s="484">
        <f t="shared" si="16"/>
        <v>0</v>
      </c>
      <c r="F146" s="485">
        <f t="shared" si="17"/>
        <v>0</v>
      </c>
      <c r="G146" s="485">
        <f t="shared" si="18"/>
        <v>0</v>
      </c>
      <c r="H146" s="613">
        <f t="shared" si="19"/>
        <v>0</v>
      </c>
      <c r="I146" s="614">
        <f t="shared" si="20"/>
        <v>0</v>
      </c>
      <c r="J146" s="478">
        <f t="shared" si="22"/>
        <v>0</v>
      </c>
      <c r="K146" s="478"/>
      <c r="L146" s="487"/>
      <c r="M146" s="478">
        <f t="shared" si="23"/>
        <v>0</v>
      </c>
      <c r="N146" s="487"/>
      <c r="O146" s="478">
        <f t="shared" si="24"/>
        <v>0</v>
      </c>
      <c r="P146" s="478">
        <f t="shared" si="25"/>
        <v>0</v>
      </c>
    </row>
    <row r="147" spans="2:16">
      <c r="B147" s="160" t="str">
        <f t="shared" si="15"/>
        <v/>
      </c>
      <c r="C147" s="472">
        <f>IF(D93="","-",+C146+1)</f>
        <v>2067</v>
      </c>
      <c r="D147" s="346">
        <f>IF(F146+SUM(E$99:E146)=D$92,F146,D$92-SUM(E$99:E146))</f>
        <v>0</v>
      </c>
      <c r="E147" s="484">
        <f t="shared" si="16"/>
        <v>0</v>
      </c>
      <c r="F147" s="485">
        <f t="shared" si="17"/>
        <v>0</v>
      </c>
      <c r="G147" s="485">
        <f t="shared" si="18"/>
        <v>0</v>
      </c>
      <c r="H147" s="613">
        <f t="shared" si="19"/>
        <v>0</v>
      </c>
      <c r="I147" s="614">
        <f t="shared" si="20"/>
        <v>0</v>
      </c>
      <c r="J147" s="478">
        <f t="shared" si="22"/>
        <v>0</v>
      </c>
      <c r="K147" s="478"/>
      <c r="L147" s="487"/>
      <c r="M147" s="478">
        <f t="shared" si="23"/>
        <v>0</v>
      </c>
      <c r="N147" s="487"/>
      <c r="O147" s="478">
        <f t="shared" si="24"/>
        <v>0</v>
      </c>
      <c r="P147" s="478">
        <f t="shared" si="25"/>
        <v>0</v>
      </c>
    </row>
    <row r="148" spans="2:16">
      <c r="B148" s="160" t="str">
        <f t="shared" si="15"/>
        <v/>
      </c>
      <c r="C148" s="472">
        <f>IF(D93="","-",+C147+1)</f>
        <v>2068</v>
      </c>
      <c r="D148" s="346">
        <f>IF(F147+SUM(E$99:E147)=D$92,F147,D$92-SUM(E$99:E147))</f>
        <v>0</v>
      </c>
      <c r="E148" s="484">
        <f t="shared" si="16"/>
        <v>0</v>
      </c>
      <c r="F148" s="485">
        <f t="shared" si="17"/>
        <v>0</v>
      </c>
      <c r="G148" s="485">
        <f t="shared" si="18"/>
        <v>0</v>
      </c>
      <c r="H148" s="613">
        <f t="shared" si="19"/>
        <v>0</v>
      </c>
      <c r="I148" s="614">
        <f t="shared" si="20"/>
        <v>0</v>
      </c>
      <c r="J148" s="478">
        <f t="shared" si="22"/>
        <v>0</v>
      </c>
      <c r="K148" s="478"/>
      <c r="L148" s="487"/>
      <c r="M148" s="478">
        <f t="shared" si="23"/>
        <v>0</v>
      </c>
      <c r="N148" s="487"/>
      <c r="O148" s="478">
        <f t="shared" si="24"/>
        <v>0</v>
      </c>
      <c r="P148" s="478">
        <f t="shared" si="25"/>
        <v>0</v>
      </c>
    </row>
    <row r="149" spans="2:16">
      <c r="B149" s="160" t="str">
        <f t="shared" si="15"/>
        <v/>
      </c>
      <c r="C149" s="472">
        <f>IF(D93="","-",+C148+1)</f>
        <v>2069</v>
      </c>
      <c r="D149" s="346">
        <f>IF(F148+SUM(E$99:E148)=D$92,F148,D$92-SUM(E$99:E148))</f>
        <v>0</v>
      </c>
      <c r="E149" s="484">
        <f t="shared" si="16"/>
        <v>0</v>
      </c>
      <c r="F149" s="485">
        <f t="shared" si="17"/>
        <v>0</v>
      </c>
      <c r="G149" s="485">
        <f t="shared" si="18"/>
        <v>0</v>
      </c>
      <c r="H149" s="613">
        <f t="shared" si="19"/>
        <v>0</v>
      </c>
      <c r="I149" s="614">
        <f t="shared" si="20"/>
        <v>0</v>
      </c>
      <c r="J149" s="478">
        <f t="shared" si="22"/>
        <v>0</v>
      </c>
      <c r="K149" s="478"/>
      <c r="L149" s="487"/>
      <c r="M149" s="478">
        <f t="shared" si="23"/>
        <v>0</v>
      </c>
      <c r="N149" s="487"/>
      <c r="O149" s="478">
        <f t="shared" si="24"/>
        <v>0</v>
      </c>
      <c r="P149" s="478">
        <f t="shared" si="25"/>
        <v>0</v>
      </c>
    </row>
    <row r="150" spans="2:16">
      <c r="B150" s="160" t="str">
        <f t="shared" si="15"/>
        <v/>
      </c>
      <c r="C150" s="472">
        <f>IF(D93="","-",+C149+1)</f>
        <v>2070</v>
      </c>
      <c r="D150" s="346">
        <f>IF(F149+SUM(E$99:E149)=D$92,F149,D$92-SUM(E$99:E149))</f>
        <v>0</v>
      </c>
      <c r="E150" s="484">
        <f t="shared" si="16"/>
        <v>0</v>
      </c>
      <c r="F150" s="485">
        <f t="shared" si="17"/>
        <v>0</v>
      </c>
      <c r="G150" s="485">
        <f t="shared" si="18"/>
        <v>0</v>
      </c>
      <c r="H150" s="613">
        <f t="shared" si="19"/>
        <v>0</v>
      </c>
      <c r="I150" s="614">
        <f t="shared" si="20"/>
        <v>0</v>
      </c>
      <c r="J150" s="478">
        <f t="shared" si="22"/>
        <v>0</v>
      </c>
      <c r="K150" s="478"/>
      <c r="L150" s="487"/>
      <c r="M150" s="478">
        <f t="shared" si="23"/>
        <v>0</v>
      </c>
      <c r="N150" s="487"/>
      <c r="O150" s="478">
        <f t="shared" si="24"/>
        <v>0</v>
      </c>
      <c r="P150" s="478">
        <f t="shared" si="25"/>
        <v>0</v>
      </c>
    </row>
    <row r="151" spans="2:16">
      <c r="B151" s="160" t="str">
        <f t="shared" si="15"/>
        <v/>
      </c>
      <c r="C151" s="472">
        <f>IF(D93="","-",+C150+1)</f>
        <v>2071</v>
      </c>
      <c r="D151" s="346">
        <f>IF(F150+SUM(E$99:E150)=D$92,F150,D$92-SUM(E$99:E150))</f>
        <v>0</v>
      </c>
      <c r="E151" s="484">
        <f t="shared" si="16"/>
        <v>0</v>
      </c>
      <c r="F151" s="485">
        <f t="shared" si="17"/>
        <v>0</v>
      </c>
      <c r="G151" s="485">
        <f t="shared" si="18"/>
        <v>0</v>
      </c>
      <c r="H151" s="613">
        <f t="shared" si="19"/>
        <v>0</v>
      </c>
      <c r="I151" s="614">
        <f t="shared" si="20"/>
        <v>0</v>
      </c>
      <c r="J151" s="478">
        <f t="shared" si="22"/>
        <v>0</v>
      </c>
      <c r="K151" s="478"/>
      <c r="L151" s="487"/>
      <c r="M151" s="478">
        <f t="shared" si="23"/>
        <v>0</v>
      </c>
      <c r="N151" s="487"/>
      <c r="O151" s="478">
        <f t="shared" si="24"/>
        <v>0</v>
      </c>
      <c r="P151" s="478">
        <f t="shared" si="25"/>
        <v>0</v>
      </c>
    </row>
    <row r="152" spans="2:16">
      <c r="B152" s="160" t="str">
        <f t="shared" si="15"/>
        <v/>
      </c>
      <c r="C152" s="472">
        <f>IF(D93="","-",+C151+1)</f>
        <v>2072</v>
      </c>
      <c r="D152" s="346">
        <f>IF(F151+SUM(E$99:E151)=D$92,F151,D$92-SUM(E$99:E151))</f>
        <v>0</v>
      </c>
      <c r="E152" s="484">
        <f t="shared" si="16"/>
        <v>0</v>
      </c>
      <c r="F152" s="485">
        <f t="shared" si="17"/>
        <v>0</v>
      </c>
      <c r="G152" s="485">
        <f t="shared" si="18"/>
        <v>0</v>
      </c>
      <c r="H152" s="613">
        <f t="shared" si="19"/>
        <v>0</v>
      </c>
      <c r="I152" s="614">
        <f t="shared" si="20"/>
        <v>0</v>
      </c>
      <c r="J152" s="478">
        <f t="shared" si="22"/>
        <v>0</v>
      </c>
      <c r="K152" s="478"/>
      <c r="L152" s="487"/>
      <c r="M152" s="478">
        <f t="shared" si="23"/>
        <v>0</v>
      </c>
      <c r="N152" s="487"/>
      <c r="O152" s="478">
        <f t="shared" si="24"/>
        <v>0</v>
      </c>
      <c r="P152" s="478">
        <f t="shared" si="25"/>
        <v>0</v>
      </c>
    </row>
    <row r="153" spans="2:16">
      <c r="B153" s="160" t="str">
        <f t="shared" si="15"/>
        <v/>
      </c>
      <c r="C153" s="472">
        <f>IF(D93="","-",+C152+1)</f>
        <v>2073</v>
      </c>
      <c r="D153" s="346">
        <f>IF(F152+SUM(E$99:E152)=D$92,F152,D$92-SUM(E$99:E152))</f>
        <v>0</v>
      </c>
      <c r="E153" s="484">
        <f t="shared" si="16"/>
        <v>0</v>
      </c>
      <c r="F153" s="485">
        <f t="shared" si="17"/>
        <v>0</v>
      </c>
      <c r="G153" s="485">
        <f t="shared" si="18"/>
        <v>0</v>
      </c>
      <c r="H153" s="613">
        <f t="shared" si="19"/>
        <v>0</v>
      </c>
      <c r="I153" s="614">
        <f t="shared" si="20"/>
        <v>0</v>
      </c>
      <c r="J153" s="478">
        <f t="shared" si="22"/>
        <v>0</v>
      </c>
      <c r="K153" s="478"/>
      <c r="L153" s="487"/>
      <c r="M153" s="478">
        <f t="shared" si="23"/>
        <v>0</v>
      </c>
      <c r="N153" s="487"/>
      <c r="O153" s="478">
        <f t="shared" si="24"/>
        <v>0</v>
      </c>
      <c r="P153" s="478">
        <f t="shared" si="25"/>
        <v>0</v>
      </c>
    </row>
    <row r="154" spans="2:16" ht="13.5" thickBot="1">
      <c r="B154" s="160" t="str">
        <f t="shared" si="15"/>
        <v/>
      </c>
      <c r="C154" s="489">
        <f>IF(D93="","-",+C153+1)</f>
        <v>2074</v>
      </c>
      <c r="D154" s="543">
        <f>IF(F153+SUM(E$99:E153)=D$92,F153,D$92-SUM(E$99:E153))</f>
        <v>0</v>
      </c>
      <c r="E154" s="491">
        <f t="shared" si="16"/>
        <v>0</v>
      </c>
      <c r="F154" s="490">
        <f t="shared" si="17"/>
        <v>0</v>
      </c>
      <c r="G154" s="490">
        <f t="shared" si="18"/>
        <v>0</v>
      </c>
      <c r="H154" s="615">
        <f t="shared" si="19"/>
        <v>0</v>
      </c>
      <c r="I154" s="616">
        <f t="shared" si="20"/>
        <v>0</v>
      </c>
      <c r="J154" s="495">
        <f t="shared" si="22"/>
        <v>0</v>
      </c>
      <c r="K154" s="478"/>
      <c r="L154" s="494"/>
      <c r="M154" s="495">
        <f t="shared" si="23"/>
        <v>0</v>
      </c>
      <c r="N154" s="494"/>
      <c r="O154" s="495">
        <f t="shared" si="24"/>
        <v>0</v>
      </c>
      <c r="P154" s="495">
        <f t="shared" si="25"/>
        <v>0</v>
      </c>
    </row>
    <row r="155" spans="2:16">
      <c r="C155" s="346" t="s">
        <v>77</v>
      </c>
      <c r="D155" s="347"/>
      <c r="E155" s="347">
        <f>SUM(E99:E154)</f>
        <v>5058589</v>
      </c>
      <c r="F155" s="347"/>
      <c r="G155" s="347"/>
      <c r="H155" s="347">
        <f>SUM(H99:H154)</f>
        <v>16402514.414640687</v>
      </c>
      <c r="I155" s="347">
        <f>SUM(I99:I154)</f>
        <v>16402514.414640687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11" priority="1" stopIfTrue="1" operator="equal">
      <formula>$I$10</formula>
    </cfRule>
  </conditionalFormatting>
  <conditionalFormatting sqref="C99:C154">
    <cfRule type="cellIs" dxfId="10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6" zoomScaleNormal="86" workbookViewId="0">
      <selection activeCell="G5" sqref="G5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28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322643.1060760754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322643.1060760754</v>
      </c>
      <c r="O6" s="232"/>
      <c r="P6" s="232"/>
    </row>
    <row r="7" spans="1:16" ht="13.5" thickBot="1">
      <c r="C7" s="431" t="s">
        <v>46</v>
      </c>
      <c r="D7" s="622" t="s">
        <v>336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C9" s="440" t="s">
        <v>48</v>
      </c>
      <c r="D9" s="441" t="s">
        <v>339</v>
      </c>
      <c r="E9" s="623" t="s">
        <v>340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2537089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2020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60406.880952380954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2020</v>
      </c>
      <c r="D17" s="584">
        <v>0</v>
      </c>
      <c r="E17" s="585">
        <v>19964.285714285714</v>
      </c>
      <c r="F17" s="584">
        <v>1657035.7142857143</v>
      </c>
      <c r="G17" s="585">
        <v>109448.17204091245</v>
      </c>
      <c r="H17" s="587">
        <v>109448.17204091245</v>
      </c>
      <c r="I17" s="475">
        <f>H17-G17</f>
        <v>0</v>
      </c>
      <c r="J17" s="475"/>
      <c r="K17" s="554">
        <f>+G17</f>
        <v>109448.17204091245</v>
      </c>
      <c r="L17" s="477">
        <f t="shared" ref="L17:L18" si="0">IF(K17&lt;&gt;0,+G17-K17,0)</f>
        <v>0</v>
      </c>
      <c r="M17" s="554">
        <f>+H17</f>
        <v>109448.17204091245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2021</v>
      </c>
      <c r="D18" s="584">
        <v>2325985.7142857141</v>
      </c>
      <c r="E18" s="585">
        <v>54556.976744186046</v>
      </c>
      <c r="F18" s="584">
        <v>2271428.737541528</v>
      </c>
      <c r="G18" s="585">
        <v>302407.38707255269</v>
      </c>
      <c r="H18" s="587">
        <v>302407.38707255269</v>
      </c>
      <c r="I18" s="475">
        <f>H18-G18</f>
        <v>0</v>
      </c>
      <c r="J18" s="475"/>
      <c r="K18" s="478">
        <f>+G18</f>
        <v>302407.38707255269</v>
      </c>
      <c r="L18" s="478">
        <f t="shared" si="0"/>
        <v>0</v>
      </c>
      <c r="M18" s="478">
        <f>+H18</f>
        <v>302407.38707255269</v>
      </c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>IU</v>
      </c>
      <c r="C19" s="472">
        <f>IF(D11="","-",+C18+1)</f>
        <v>2022</v>
      </c>
      <c r="D19" s="483">
        <f>IF(F18+SUM(E$17:E18)=D$10,F18,D$10-SUM(E$17:E18))</f>
        <v>2462567.7375415284</v>
      </c>
      <c r="E19" s="484">
        <f t="shared" ref="E19:E71" si="3">IF(+I$14&lt;F18,I$14,D19)</f>
        <v>60406.880952380954</v>
      </c>
      <c r="F19" s="485">
        <f t="shared" ref="F19:F71" si="4">+D19-E19</f>
        <v>2402160.8565891474</v>
      </c>
      <c r="G19" s="486">
        <f t="shared" ref="G19:G71" si="5">(D19+F19)/2*I$12+E19</f>
        <v>322643.1060760754</v>
      </c>
      <c r="H19" s="455">
        <f t="shared" ref="H19:H71" si="6">+(D19+F19)/2*I$13+E19</f>
        <v>322643.1060760754</v>
      </c>
      <c r="I19" s="475">
        <f t="shared" ref="I19:I71" si="7">H19-G19</f>
        <v>0</v>
      </c>
      <c r="J19" s="475"/>
      <c r="K19" s="487"/>
      <c r="L19" s="478">
        <f t="shared" ref="L19:L72" si="8">IF(K19&lt;&gt;0,+G19-K19,0)</f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9">IF(D20=F19,"","IU")</f>
        <v/>
      </c>
      <c r="C20" s="472">
        <f>IF(D11="","-",+C19+1)</f>
        <v>2023</v>
      </c>
      <c r="D20" s="483">
        <f>IF(F19+SUM(E$17:E19)=D$10,F19,D$10-SUM(E$17:E19))</f>
        <v>2402160.8565891474</v>
      </c>
      <c r="E20" s="484">
        <f t="shared" si="3"/>
        <v>60406.880952380954</v>
      </c>
      <c r="F20" s="485">
        <f t="shared" si="4"/>
        <v>2341753.9756367663</v>
      </c>
      <c r="G20" s="486">
        <f t="shared" si="5"/>
        <v>316130.56498526881</v>
      </c>
      <c r="H20" s="455">
        <f t="shared" si="6"/>
        <v>316130.56498526881</v>
      </c>
      <c r="I20" s="475">
        <f t="shared" si="7"/>
        <v>0</v>
      </c>
      <c r="J20" s="475"/>
      <c r="K20" s="487"/>
      <c r="L20" s="478">
        <f t="shared" si="8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9"/>
        <v/>
      </c>
      <c r="C21" s="472">
        <f>IF(D11="","-",+C20+1)</f>
        <v>2024</v>
      </c>
      <c r="D21" s="483">
        <f>IF(F20+SUM(E$17:E20)=D$10,F20,D$10-SUM(E$17:E20))</f>
        <v>2341753.9756367663</v>
      </c>
      <c r="E21" s="484">
        <f t="shared" si="3"/>
        <v>60406.880952380954</v>
      </c>
      <c r="F21" s="485">
        <f t="shared" si="4"/>
        <v>2281347.0946843852</v>
      </c>
      <c r="G21" s="486">
        <f t="shared" si="5"/>
        <v>309618.02389446233</v>
      </c>
      <c r="H21" s="455">
        <f t="shared" si="6"/>
        <v>309618.02389446233</v>
      </c>
      <c r="I21" s="475">
        <f t="shared" si="7"/>
        <v>0</v>
      </c>
      <c r="J21" s="475"/>
      <c r="K21" s="487"/>
      <c r="L21" s="478">
        <f t="shared" si="8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9"/>
        <v/>
      </c>
      <c r="C22" s="472">
        <f>IF(D11="","-",+C21+1)</f>
        <v>2025</v>
      </c>
      <c r="D22" s="483">
        <f>IF(F21+SUM(E$17:E21)=D$10,F21,D$10-SUM(E$17:E21))</f>
        <v>2281347.0946843852</v>
      </c>
      <c r="E22" s="484">
        <f t="shared" si="3"/>
        <v>60406.880952380954</v>
      </c>
      <c r="F22" s="485">
        <f t="shared" si="4"/>
        <v>2220940.2137320042</v>
      </c>
      <c r="G22" s="486">
        <f t="shared" si="5"/>
        <v>303105.48280365573</v>
      </c>
      <c r="H22" s="455">
        <f t="shared" si="6"/>
        <v>303105.48280365573</v>
      </c>
      <c r="I22" s="475">
        <f t="shared" si="7"/>
        <v>0</v>
      </c>
      <c r="J22" s="475"/>
      <c r="K22" s="487"/>
      <c r="L22" s="478">
        <f t="shared" si="8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9"/>
        <v/>
      </c>
      <c r="C23" s="472">
        <f>IF(D11="","-",+C22+1)</f>
        <v>2026</v>
      </c>
      <c r="D23" s="483">
        <f>IF(F22+SUM(E$17:E22)=D$10,F22,D$10-SUM(E$17:E22))</f>
        <v>2220940.2137320042</v>
      </c>
      <c r="E23" s="484">
        <f t="shared" si="3"/>
        <v>60406.880952380954</v>
      </c>
      <c r="F23" s="485">
        <f t="shared" si="4"/>
        <v>2160533.3327796231</v>
      </c>
      <c r="G23" s="486">
        <f t="shared" si="5"/>
        <v>296592.94171284919</v>
      </c>
      <c r="H23" s="455">
        <f t="shared" si="6"/>
        <v>296592.94171284919</v>
      </c>
      <c r="I23" s="475">
        <f t="shared" si="7"/>
        <v>0</v>
      </c>
      <c r="J23" s="475"/>
      <c r="K23" s="487"/>
      <c r="L23" s="478">
        <f t="shared" si="8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9"/>
        <v/>
      </c>
      <c r="C24" s="472">
        <f>IF(D11="","-",+C23+1)</f>
        <v>2027</v>
      </c>
      <c r="D24" s="483">
        <f>IF(F23+SUM(E$17:E23)=D$10,F23,D$10-SUM(E$17:E23))</f>
        <v>2160533.3327796231</v>
      </c>
      <c r="E24" s="484">
        <f t="shared" si="3"/>
        <v>60406.880952380954</v>
      </c>
      <c r="F24" s="485">
        <f t="shared" si="4"/>
        <v>2100126.451827242</v>
      </c>
      <c r="G24" s="486">
        <f t="shared" si="5"/>
        <v>290080.40062204259</v>
      </c>
      <c r="H24" s="455">
        <f t="shared" si="6"/>
        <v>290080.40062204259</v>
      </c>
      <c r="I24" s="475">
        <f t="shared" si="7"/>
        <v>0</v>
      </c>
      <c r="J24" s="475"/>
      <c r="K24" s="487"/>
      <c r="L24" s="478">
        <f t="shared" si="8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9"/>
        <v/>
      </c>
      <c r="C25" s="472">
        <f>IF(D11="","-",+C24+1)</f>
        <v>2028</v>
      </c>
      <c r="D25" s="483">
        <f>IF(F24+SUM(E$17:E24)=D$10,F24,D$10-SUM(E$17:E24))</f>
        <v>2100126.451827242</v>
      </c>
      <c r="E25" s="484">
        <f t="shared" si="3"/>
        <v>60406.880952380954</v>
      </c>
      <c r="F25" s="485">
        <f t="shared" si="4"/>
        <v>2039719.570874861</v>
      </c>
      <c r="G25" s="486">
        <f t="shared" si="5"/>
        <v>283567.85953123606</v>
      </c>
      <c r="H25" s="455">
        <f t="shared" si="6"/>
        <v>283567.85953123606</v>
      </c>
      <c r="I25" s="475">
        <f t="shared" si="7"/>
        <v>0</v>
      </c>
      <c r="J25" s="475"/>
      <c r="K25" s="487"/>
      <c r="L25" s="478">
        <f t="shared" si="8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9"/>
        <v/>
      </c>
      <c r="C26" s="472">
        <f>IF(D11="","-",+C25+1)</f>
        <v>2029</v>
      </c>
      <c r="D26" s="483">
        <f>IF(F25+SUM(E$17:E25)=D$10,F25,D$10-SUM(E$17:E25))</f>
        <v>2039719.570874861</v>
      </c>
      <c r="E26" s="484">
        <f t="shared" si="3"/>
        <v>60406.880952380954</v>
      </c>
      <c r="F26" s="485">
        <f t="shared" si="4"/>
        <v>1979312.6899224799</v>
      </c>
      <c r="G26" s="486">
        <f t="shared" si="5"/>
        <v>277055.31844042952</v>
      </c>
      <c r="H26" s="455">
        <f t="shared" si="6"/>
        <v>277055.31844042952</v>
      </c>
      <c r="I26" s="475">
        <f t="shared" si="7"/>
        <v>0</v>
      </c>
      <c r="J26" s="475"/>
      <c r="K26" s="487"/>
      <c r="L26" s="478">
        <f t="shared" si="8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9"/>
        <v/>
      </c>
      <c r="C27" s="472">
        <f>IF(D11="","-",+C26+1)</f>
        <v>2030</v>
      </c>
      <c r="D27" s="483">
        <f>IF(F26+SUM(E$17:E26)=D$10,F26,D$10-SUM(E$17:E26))</f>
        <v>1979312.6899224799</v>
      </c>
      <c r="E27" s="484">
        <f t="shared" si="3"/>
        <v>60406.880952380954</v>
      </c>
      <c r="F27" s="485">
        <f t="shared" si="4"/>
        <v>1918905.8089700988</v>
      </c>
      <c r="G27" s="486">
        <f t="shared" si="5"/>
        <v>270542.77734962298</v>
      </c>
      <c r="H27" s="455">
        <f t="shared" si="6"/>
        <v>270542.77734962298</v>
      </c>
      <c r="I27" s="475">
        <f t="shared" si="7"/>
        <v>0</v>
      </c>
      <c r="J27" s="475"/>
      <c r="K27" s="487"/>
      <c r="L27" s="478">
        <f t="shared" si="8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9"/>
        <v/>
      </c>
      <c r="C28" s="472">
        <f>IF(D11="","-",+C27+1)</f>
        <v>2031</v>
      </c>
      <c r="D28" s="483">
        <f>IF(F27+SUM(E$17:E27)=D$10,F27,D$10-SUM(E$17:E27))</f>
        <v>1918905.8089700988</v>
      </c>
      <c r="E28" s="484">
        <f t="shared" si="3"/>
        <v>60406.880952380954</v>
      </c>
      <c r="F28" s="485">
        <f t="shared" si="4"/>
        <v>1858498.9280177178</v>
      </c>
      <c r="G28" s="486">
        <f t="shared" si="5"/>
        <v>264030.23625881644</v>
      </c>
      <c r="H28" s="455">
        <f t="shared" si="6"/>
        <v>264030.23625881644</v>
      </c>
      <c r="I28" s="475">
        <f t="shared" si="7"/>
        <v>0</v>
      </c>
      <c r="J28" s="475"/>
      <c r="K28" s="487"/>
      <c r="L28" s="478">
        <f t="shared" si="8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9"/>
        <v/>
      </c>
      <c r="C29" s="472">
        <f>IF(D11="","-",+C28+1)</f>
        <v>2032</v>
      </c>
      <c r="D29" s="483">
        <f>IF(F28+SUM(E$17:E28)=D$10,F28,D$10-SUM(E$17:E28))</f>
        <v>1858498.9280177178</v>
      </c>
      <c r="E29" s="484">
        <f t="shared" si="3"/>
        <v>60406.880952380954</v>
      </c>
      <c r="F29" s="485">
        <f t="shared" si="4"/>
        <v>1798092.0470653367</v>
      </c>
      <c r="G29" s="486">
        <f t="shared" si="5"/>
        <v>257517.69516800984</v>
      </c>
      <c r="H29" s="455">
        <f t="shared" si="6"/>
        <v>257517.69516800984</v>
      </c>
      <c r="I29" s="475">
        <f t="shared" si="7"/>
        <v>0</v>
      </c>
      <c r="J29" s="475"/>
      <c r="K29" s="487"/>
      <c r="L29" s="478">
        <f t="shared" si="8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9"/>
        <v/>
      </c>
      <c r="C30" s="472">
        <f>IF(D11="","-",+C29+1)</f>
        <v>2033</v>
      </c>
      <c r="D30" s="483">
        <f>IF(F29+SUM(E$17:E29)=D$10,F29,D$10-SUM(E$17:E29))</f>
        <v>1798092.0470653367</v>
      </c>
      <c r="E30" s="484">
        <f t="shared" si="3"/>
        <v>60406.880952380954</v>
      </c>
      <c r="F30" s="485">
        <f t="shared" si="4"/>
        <v>1737685.1661129557</v>
      </c>
      <c r="G30" s="486">
        <f t="shared" si="5"/>
        <v>251005.1540772033</v>
      </c>
      <c r="H30" s="455">
        <f t="shared" si="6"/>
        <v>251005.1540772033</v>
      </c>
      <c r="I30" s="475">
        <f t="shared" si="7"/>
        <v>0</v>
      </c>
      <c r="J30" s="475"/>
      <c r="K30" s="487"/>
      <c r="L30" s="478">
        <f t="shared" si="8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9"/>
        <v/>
      </c>
      <c r="C31" s="472">
        <f>IF(D11="","-",+C30+1)</f>
        <v>2034</v>
      </c>
      <c r="D31" s="483">
        <f>IF(F30+SUM(E$17:E30)=D$10,F30,D$10-SUM(E$17:E30))</f>
        <v>1737685.1661129557</v>
      </c>
      <c r="E31" s="484">
        <f t="shared" si="3"/>
        <v>60406.880952380954</v>
      </c>
      <c r="F31" s="485">
        <f t="shared" si="4"/>
        <v>1677278.2851605746</v>
      </c>
      <c r="G31" s="486">
        <f t="shared" si="5"/>
        <v>244492.61298639674</v>
      </c>
      <c r="H31" s="455">
        <f t="shared" si="6"/>
        <v>244492.61298639674</v>
      </c>
      <c r="I31" s="475">
        <f t="shared" si="7"/>
        <v>0</v>
      </c>
      <c r="J31" s="475"/>
      <c r="K31" s="487"/>
      <c r="L31" s="478">
        <f t="shared" si="8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9"/>
        <v/>
      </c>
      <c r="C32" s="472">
        <f>IF(D11="","-",+C31+1)</f>
        <v>2035</v>
      </c>
      <c r="D32" s="483">
        <f>IF(F31+SUM(E$17:E31)=D$10,F31,D$10-SUM(E$17:E31))</f>
        <v>1677278.2851605746</v>
      </c>
      <c r="E32" s="484">
        <f t="shared" si="3"/>
        <v>60406.880952380954</v>
      </c>
      <c r="F32" s="485">
        <f t="shared" si="4"/>
        <v>1616871.4042081935</v>
      </c>
      <c r="G32" s="486">
        <f t="shared" si="5"/>
        <v>237980.0718955902</v>
      </c>
      <c r="H32" s="455">
        <f t="shared" si="6"/>
        <v>237980.0718955902</v>
      </c>
      <c r="I32" s="475">
        <f t="shared" si="7"/>
        <v>0</v>
      </c>
      <c r="J32" s="475"/>
      <c r="K32" s="487"/>
      <c r="L32" s="478">
        <f t="shared" si="8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9"/>
        <v/>
      </c>
      <c r="C33" s="472">
        <f>IF(D11="","-",+C32+1)</f>
        <v>2036</v>
      </c>
      <c r="D33" s="483">
        <f>IF(F32+SUM(E$17:E32)=D$10,F32,D$10-SUM(E$17:E32))</f>
        <v>1616871.4042081935</v>
      </c>
      <c r="E33" s="484">
        <f t="shared" si="3"/>
        <v>60406.880952380954</v>
      </c>
      <c r="F33" s="485">
        <f t="shared" si="4"/>
        <v>1556464.5232558125</v>
      </c>
      <c r="G33" s="486">
        <f t="shared" si="5"/>
        <v>231467.53080478363</v>
      </c>
      <c r="H33" s="455">
        <f t="shared" si="6"/>
        <v>231467.53080478363</v>
      </c>
      <c r="I33" s="475">
        <f t="shared" si="7"/>
        <v>0</v>
      </c>
      <c r="J33" s="475"/>
      <c r="K33" s="487"/>
      <c r="L33" s="478">
        <f t="shared" si="8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9"/>
        <v/>
      </c>
      <c r="C34" s="472">
        <f>IF(D11="","-",+C33+1)</f>
        <v>2037</v>
      </c>
      <c r="D34" s="483">
        <f>IF(F33+SUM(E$17:E33)=D$10,F33,D$10-SUM(E$17:E33))</f>
        <v>1556464.5232558125</v>
      </c>
      <c r="E34" s="484">
        <f t="shared" si="3"/>
        <v>60406.880952380954</v>
      </c>
      <c r="F34" s="485">
        <f t="shared" si="4"/>
        <v>1496057.6423034314</v>
      </c>
      <c r="G34" s="486">
        <f t="shared" si="5"/>
        <v>224954.98971397709</v>
      </c>
      <c r="H34" s="455">
        <f t="shared" si="6"/>
        <v>224954.98971397709</v>
      </c>
      <c r="I34" s="475">
        <f t="shared" si="7"/>
        <v>0</v>
      </c>
      <c r="J34" s="475"/>
      <c r="K34" s="487"/>
      <c r="L34" s="478">
        <f t="shared" si="8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9"/>
        <v/>
      </c>
      <c r="C35" s="472">
        <f>IF(D11="","-",+C34+1)</f>
        <v>2038</v>
      </c>
      <c r="D35" s="483">
        <f>IF(F34+SUM(E$17:E34)=D$10,F34,D$10-SUM(E$17:E34))</f>
        <v>1496057.6423034314</v>
      </c>
      <c r="E35" s="484">
        <f t="shared" si="3"/>
        <v>60406.880952380954</v>
      </c>
      <c r="F35" s="485">
        <f t="shared" si="4"/>
        <v>1435650.7613510503</v>
      </c>
      <c r="G35" s="486">
        <f t="shared" si="5"/>
        <v>218442.44862317052</v>
      </c>
      <c r="H35" s="455">
        <f t="shared" si="6"/>
        <v>218442.44862317052</v>
      </c>
      <c r="I35" s="475">
        <f t="shared" si="7"/>
        <v>0</v>
      </c>
      <c r="J35" s="475"/>
      <c r="K35" s="487"/>
      <c r="L35" s="478">
        <f t="shared" si="8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9"/>
        <v/>
      </c>
      <c r="C36" s="472">
        <f>IF(D11="","-",+C35+1)</f>
        <v>2039</v>
      </c>
      <c r="D36" s="483">
        <f>IF(F35+SUM(E$17:E35)=D$10,F35,D$10-SUM(E$17:E35))</f>
        <v>1435650.7613510503</v>
      </c>
      <c r="E36" s="484">
        <f t="shared" si="3"/>
        <v>60406.880952380954</v>
      </c>
      <c r="F36" s="485">
        <f t="shared" si="4"/>
        <v>1375243.8803986693</v>
      </c>
      <c r="G36" s="486">
        <f t="shared" si="5"/>
        <v>211929.90753236398</v>
      </c>
      <c r="H36" s="455">
        <f t="shared" si="6"/>
        <v>211929.90753236398</v>
      </c>
      <c r="I36" s="475">
        <f t="shared" si="7"/>
        <v>0</v>
      </c>
      <c r="J36" s="475"/>
      <c r="K36" s="487"/>
      <c r="L36" s="478">
        <f t="shared" si="8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9"/>
        <v/>
      </c>
      <c r="C37" s="472">
        <f>IF(D11="","-",+C36+1)</f>
        <v>2040</v>
      </c>
      <c r="D37" s="483">
        <f>IF(F36+SUM(E$17:E36)=D$10,F36,D$10-SUM(E$17:E36))</f>
        <v>1375243.8803986693</v>
      </c>
      <c r="E37" s="484">
        <f t="shared" si="3"/>
        <v>60406.880952380954</v>
      </c>
      <c r="F37" s="485">
        <f t="shared" si="4"/>
        <v>1314836.9994462882</v>
      </c>
      <c r="G37" s="486">
        <f t="shared" si="5"/>
        <v>205417.36644155742</v>
      </c>
      <c r="H37" s="455">
        <f t="shared" si="6"/>
        <v>205417.36644155742</v>
      </c>
      <c r="I37" s="475">
        <f t="shared" si="7"/>
        <v>0</v>
      </c>
      <c r="J37" s="475"/>
      <c r="K37" s="487"/>
      <c r="L37" s="478">
        <f t="shared" si="8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9"/>
        <v/>
      </c>
      <c r="C38" s="472">
        <f>IF(D11="","-",+C37+1)</f>
        <v>2041</v>
      </c>
      <c r="D38" s="483">
        <f>IF(F37+SUM(E$17:E37)=D$10,F37,D$10-SUM(E$17:E37))</f>
        <v>1314836.9994462882</v>
      </c>
      <c r="E38" s="484">
        <f t="shared" si="3"/>
        <v>60406.880952380954</v>
      </c>
      <c r="F38" s="485">
        <f t="shared" si="4"/>
        <v>1254430.1184939072</v>
      </c>
      <c r="G38" s="486">
        <f t="shared" si="5"/>
        <v>198904.82535075088</v>
      </c>
      <c r="H38" s="455">
        <f t="shared" si="6"/>
        <v>198904.82535075088</v>
      </c>
      <c r="I38" s="475">
        <f t="shared" si="7"/>
        <v>0</v>
      </c>
      <c r="J38" s="475"/>
      <c r="K38" s="487"/>
      <c r="L38" s="478">
        <f t="shared" si="8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9"/>
        <v/>
      </c>
      <c r="C39" s="472">
        <f>IF(D11="","-",+C38+1)</f>
        <v>2042</v>
      </c>
      <c r="D39" s="483">
        <f>IF(F38+SUM(E$17:E38)=D$10,F38,D$10-SUM(E$17:E38))</f>
        <v>1254430.1184939072</v>
      </c>
      <c r="E39" s="484">
        <f t="shared" si="3"/>
        <v>60406.880952380954</v>
      </c>
      <c r="F39" s="485">
        <f t="shared" si="4"/>
        <v>1194023.2375415261</v>
      </c>
      <c r="G39" s="486">
        <f t="shared" si="5"/>
        <v>192392.28425994431</v>
      </c>
      <c r="H39" s="455">
        <f t="shared" si="6"/>
        <v>192392.28425994431</v>
      </c>
      <c r="I39" s="475">
        <f t="shared" si="7"/>
        <v>0</v>
      </c>
      <c r="J39" s="475"/>
      <c r="K39" s="487"/>
      <c r="L39" s="478">
        <f t="shared" si="8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9"/>
        <v/>
      </c>
      <c r="C40" s="472">
        <f>IF(D11="","-",+C39+1)</f>
        <v>2043</v>
      </c>
      <c r="D40" s="483">
        <f>IF(F39+SUM(E$17:E39)=D$10,F39,D$10-SUM(E$17:E39))</f>
        <v>1194023.2375415261</v>
      </c>
      <c r="E40" s="484">
        <f t="shared" si="3"/>
        <v>60406.880952380954</v>
      </c>
      <c r="F40" s="485">
        <f t="shared" si="4"/>
        <v>1133616.356589145</v>
      </c>
      <c r="G40" s="486">
        <f t="shared" si="5"/>
        <v>185879.74316913777</v>
      </c>
      <c r="H40" s="455">
        <f t="shared" si="6"/>
        <v>185879.74316913777</v>
      </c>
      <c r="I40" s="475">
        <f t="shared" si="7"/>
        <v>0</v>
      </c>
      <c r="J40" s="475"/>
      <c r="K40" s="487"/>
      <c r="L40" s="478">
        <f t="shared" si="8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9"/>
        <v/>
      </c>
      <c r="C41" s="472">
        <f>IF(D11="","-",+C40+1)</f>
        <v>2044</v>
      </c>
      <c r="D41" s="483">
        <f>IF(F40+SUM(E$17:E40)=D$10,F40,D$10-SUM(E$17:E40))</f>
        <v>1133616.356589145</v>
      </c>
      <c r="E41" s="484">
        <f t="shared" si="3"/>
        <v>60406.880952380954</v>
      </c>
      <c r="F41" s="485">
        <f t="shared" si="4"/>
        <v>1073209.475636764</v>
      </c>
      <c r="G41" s="486">
        <f t="shared" si="5"/>
        <v>179367.20207833123</v>
      </c>
      <c r="H41" s="455">
        <f t="shared" si="6"/>
        <v>179367.20207833123</v>
      </c>
      <c r="I41" s="475">
        <f t="shared" si="7"/>
        <v>0</v>
      </c>
      <c r="J41" s="475"/>
      <c r="K41" s="487"/>
      <c r="L41" s="478">
        <f t="shared" si="8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9"/>
        <v/>
      </c>
      <c r="C42" s="472">
        <f>IF(D11="","-",+C41+1)</f>
        <v>2045</v>
      </c>
      <c r="D42" s="483">
        <f>IF(F41+SUM(E$17:E41)=D$10,F41,D$10-SUM(E$17:E41))</f>
        <v>1073209.475636764</v>
      </c>
      <c r="E42" s="484">
        <f t="shared" si="3"/>
        <v>60406.880952380954</v>
      </c>
      <c r="F42" s="485">
        <f t="shared" si="4"/>
        <v>1012802.594684383</v>
      </c>
      <c r="G42" s="486">
        <f t="shared" si="5"/>
        <v>172854.66098752466</v>
      </c>
      <c r="H42" s="455">
        <f t="shared" si="6"/>
        <v>172854.66098752466</v>
      </c>
      <c r="I42" s="475">
        <f t="shared" si="7"/>
        <v>0</v>
      </c>
      <c r="J42" s="475"/>
      <c r="K42" s="487"/>
      <c r="L42" s="478">
        <f t="shared" si="8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9"/>
        <v/>
      </c>
      <c r="C43" s="472">
        <f>IF(D11="","-",+C42+1)</f>
        <v>2046</v>
      </c>
      <c r="D43" s="483">
        <f>IF(F42+SUM(E$17:E42)=D$10,F42,D$10-SUM(E$17:E42))</f>
        <v>1012802.594684383</v>
      </c>
      <c r="E43" s="484">
        <f t="shared" si="3"/>
        <v>60406.880952380954</v>
      </c>
      <c r="F43" s="485">
        <f t="shared" si="4"/>
        <v>952395.71373200207</v>
      </c>
      <c r="G43" s="486">
        <f t="shared" si="5"/>
        <v>166342.11989671816</v>
      </c>
      <c r="H43" s="455">
        <f t="shared" si="6"/>
        <v>166342.11989671816</v>
      </c>
      <c r="I43" s="475">
        <f t="shared" si="7"/>
        <v>0</v>
      </c>
      <c r="J43" s="475"/>
      <c r="K43" s="487"/>
      <c r="L43" s="478">
        <f t="shared" si="8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9"/>
        <v/>
      </c>
      <c r="C44" s="472">
        <f>IF(D11="","-",+C43+1)</f>
        <v>2047</v>
      </c>
      <c r="D44" s="483">
        <f>IF(F43+SUM(E$17:E43)=D$10,F43,D$10-SUM(E$17:E43))</f>
        <v>952395.71373200207</v>
      </c>
      <c r="E44" s="484">
        <f t="shared" si="3"/>
        <v>60406.880952380954</v>
      </c>
      <c r="F44" s="485">
        <f t="shared" si="4"/>
        <v>891988.83277962112</v>
      </c>
      <c r="G44" s="486">
        <f t="shared" si="5"/>
        <v>159829.57880591159</v>
      </c>
      <c r="H44" s="455">
        <f t="shared" si="6"/>
        <v>159829.57880591159</v>
      </c>
      <c r="I44" s="475">
        <f t="shared" si="7"/>
        <v>0</v>
      </c>
      <c r="J44" s="475"/>
      <c r="K44" s="487"/>
      <c r="L44" s="478">
        <f t="shared" si="8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9"/>
        <v/>
      </c>
      <c r="C45" s="472">
        <f>IF(D11="","-",+C44+1)</f>
        <v>2048</v>
      </c>
      <c r="D45" s="483">
        <f>IF(F44+SUM(E$17:E44)=D$10,F44,D$10-SUM(E$17:E44))</f>
        <v>891988.83277962112</v>
      </c>
      <c r="E45" s="484">
        <f t="shared" si="3"/>
        <v>60406.880952380954</v>
      </c>
      <c r="F45" s="485">
        <f t="shared" si="4"/>
        <v>831581.95182724018</v>
      </c>
      <c r="G45" s="486">
        <f t="shared" si="5"/>
        <v>153317.03771510508</v>
      </c>
      <c r="H45" s="455">
        <f t="shared" si="6"/>
        <v>153317.03771510508</v>
      </c>
      <c r="I45" s="475">
        <f t="shared" si="7"/>
        <v>0</v>
      </c>
      <c r="J45" s="475"/>
      <c r="K45" s="487"/>
      <c r="L45" s="478">
        <f t="shared" si="8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9"/>
        <v/>
      </c>
      <c r="C46" s="472">
        <f>IF(D11="","-",+C45+1)</f>
        <v>2049</v>
      </c>
      <c r="D46" s="483">
        <f>IF(F45+SUM(E$17:E45)=D$10,F45,D$10-SUM(E$17:E45))</f>
        <v>831581.95182724018</v>
      </c>
      <c r="E46" s="484">
        <f t="shared" si="3"/>
        <v>60406.880952380954</v>
      </c>
      <c r="F46" s="485">
        <f t="shared" si="4"/>
        <v>771175.07087485923</v>
      </c>
      <c r="G46" s="486">
        <f t="shared" si="5"/>
        <v>146804.49662429851</v>
      </c>
      <c r="H46" s="455">
        <f t="shared" si="6"/>
        <v>146804.49662429851</v>
      </c>
      <c r="I46" s="475">
        <f t="shared" si="7"/>
        <v>0</v>
      </c>
      <c r="J46" s="475"/>
      <c r="K46" s="487"/>
      <c r="L46" s="478">
        <f t="shared" si="8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9"/>
        <v/>
      </c>
      <c r="C47" s="472">
        <f>IF(D11="","-",+C46+1)</f>
        <v>2050</v>
      </c>
      <c r="D47" s="483">
        <f>IF(F46+SUM(E$17:E46)=D$10,F46,D$10-SUM(E$17:E46))</f>
        <v>771175.07087485923</v>
      </c>
      <c r="E47" s="484">
        <f t="shared" si="3"/>
        <v>60406.880952380954</v>
      </c>
      <c r="F47" s="485">
        <f t="shared" si="4"/>
        <v>710768.18992247828</v>
      </c>
      <c r="G47" s="486">
        <f t="shared" si="5"/>
        <v>140291.95553349197</v>
      </c>
      <c r="H47" s="455">
        <f t="shared" si="6"/>
        <v>140291.95553349197</v>
      </c>
      <c r="I47" s="475">
        <f t="shared" si="7"/>
        <v>0</v>
      </c>
      <c r="J47" s="475"/>
      <c r="K47" s="487"/>
      <c r="L47" s="478">
        <f t="shared" si="8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9"/>
        <v/>
      </c>
      <c r="C48" s="472">
        <f>IF(D11="","-",+C47+1)</f>
        <v>2051</v>
      </c>
      <c r="D48" s="483">
        <f>IF(F47+SUM(E$17:E47)=D$10,F47,D$10-SUM(E$17:E47))</f>
        <v>710768.18992247828</v>
      </c>
      <c r="E48" s="484">
        <f t="shared" si="3"/>
        <v>60406.880952380954</v>
      </c>
      <c r="F48" s="485">
        <f t="shared" si="4"/>
        <v>650361.30897009734</v>
      </c>
      <c r="G48" s="486">
        <f t="shared" si="5"/>
        <v>133779.41444268543</v>
      </c>
      <c r="H48" s="455">
        <f t="shared" si="6"/>
        <v>133779.41444268543</v>
      </c>
      <c r="I48" s="475">
        <f t="shared" si="7"/>
        <v>0</v>
      </c>
      <c r="J48" s="475"/>
      <c r="K48" s="487"/>
      <c r="L48" s="478">
        <f t="shared" si="8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9"/>
        <v/>
      </c>
      <c r="C49" s="472">
        <f>IF(D11="","-",+C48+1)</f>
        <v>2052</v>
      </c>
      <c r="D49" s="483">
        <f>IF(F48+SUM(E$17:E48)=D$10,F48,D$10-SUM(E$17:E48))</f>
        <v>650361.30897009734</v>
      </c>
      <c r="E49" s="484">
        <f t="shared" si="3"/>
        <v>60406.880952380954</v>
      </c>
      <c r="F49" s="485">
        <f t="shared" si="4"/>
        <v>589954.42801771639</v>
      </c>
      <c r="G49" s="486">
        <f t="shared" si="5"/>
        <v>127266.87335187889</v>
      </c>
      <c r="H49" s="455">
        <f t="shared" si="6"/>
        <v>127266.87335187889</v>
      </c>
      <c r="I49" s="475">
        <f t="shared" si="7"/>
        <v>0</v>
      </c>
      <c r="J49" s="475"/>
      <c r="K49" s="487"/>
      <c r="L49" s="478">
        <f t="shared" si="8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9"/>
        <v/>
      </c>
      <c r="C50" s="472">
        <f>IF(D11="","-",+C49+1)</f>
        <v>2053</v>
      </c>
      <c r="D50" s="483">
        <f>IF(F49+SUM(E$17:E49)=D$10,F49,D$10-SUM(E$17:E49))</f>
        <v>589954.42801771639</v>
      </c>
      <c r="E50" s="484">
        <f t="shared" si="3"/>
        <v>60406.880952380954</v>
      </c>
      <c r="F50" s="485">
        <f t="shared" si="4"/>
        <v>529547.54706533544</v>
      </c>
      <c r="G50" s="486">
        <f t="shared" si="5"/>
        <v>120754.33226107236</v>
      </c>
      <c r="H50" s="455">
        <f t="shared" si="6"/>
        <v>120754.33226107236</v>
      </c>
      <c r="I50" s="475">
        <f t="shared" si="7"/>
        <v>0</v>
      </c>
      <c r="J50" s="475"/>
      <c r="K50" s="487"/>
      <c r="L50" s="478">
        <f t="shared" si="8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9"/>
        <v/>
      </c>
      <c r="C51" s="472">
        <f>IF(D11="","-",+C50+1)</f>
        <v>2054</v>
      </c>
      <c r="D51" s="483">
        <f>IF(F50+SUM(E$17:E50)=D$10,F50,D$10-SUM(E$17:E50))</f>
        <v>529547.54706533544</v>
      </c>
      <c r="E51" s="484">
        <f t="shared" si="3"/>
        <v>60406.880952380954</v>
      </c>
      <c r="F51" s="485">
        <f t="shared" si="4"/>
        <v>469140.6661129545</v>
      </c>
      <c r="G51" s="486">
        <f t="shared" si="5"/>
        <v>114241.79117026582</v>
      </c>
      <c r="H51" s="455">
        <f t="shared" si="6"/>
        <v>114241.79117026582</v>
      </c>
      <c r="I51" s="475">
        <f t="shared" si="7"/>
        <v>0</v>
      </c>
      <c r="J51" s="475"/>
      <c r="K51" s="487"/>
      <c r="L51" s="478">
        <f t="shared" si="8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9"/>
        <v/>
      </c>
      <c r="C52" s="472">
        <f>IF(D11="","-",+C51+1)</f>
        <v>2055</v>
      </c>
      <c r="D52" s="483">
        <f>IF(F51+SUM(E$17:E51)=D$10,F51,D$10-SUM(E$17:E51))</f>
        <v>469140.6661129545</v>
      </c>
      <c r="E52" s="484">
        <f t="shared" si="3"/>
        <v>60406.880952380954</v>
      </c>
      <c r="F52" s="485">
        <f t="shared" si="4"/>
        <v>408733.78516057355</v>
      </c>
      <c r="G52" s="486">
        <f t="shared" si="5"/>
        <v>107729.25007945928</v>
      </c>
      <c r="H52" s="455">
        <f t="shared" si="6"/>
        <v>107729.25007945928</v>
      </c>
      <c r="I52" s="475">
        <f t="shared" si="7"/>
        <v>0</v>
      </c>
      <c r="J52" s="475"/>
      <c r="K52" s="487"/>
      <c r="L52" s="478">
        <f t="shared" si="8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9"/>
        <v/>
      </c>
      <c r="C53" s="472">
        <f>IF(D11="","-",+C52+1)</f>
        <v>2056</v>
      </c>
      <c r="D53" s="483">
        <f>IF(F52+SUM(E$17:E52)=D$10,F52,D$10-SUM(E$17:E52))</f>
        <v>408733.78516057355</v>
      </c>
      <c r="E53" s="484">
        <f t="shared" si="3"/>
        <v>60406.880952380954</v>
      </c>
      <c r="F53" s="485">
        <f t="shared" si="4"/>
        <v>348326.9042081926</v>
      </c>
      <c r="G53" s="486">
        <f t="shared" si="5"/>
        <v>101216.70898865274</v>
      </c>
      <c r="H53" s="455">
        <f t="shared" si="6"/>
        <v>101216.70898865274</v>
      </c>
      <c r="I53" s="475">
        <f t="shared" si="7"/>
        <v>0</v>
      </c>
      <c r="J53" s="475"/>
      <c r="K53" s="487"/>
      <c r="L53" s="478">
        <f t="shared" si="8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9"/>
        <v/>
      </c>
      <c r="C54" s="472">
        <f>IF(D11="","-",+C53+1)</f>
        <v>2057</v>
      </c>
      <c r="D54" s="483">
        <f>IF(F53+SUM(E$17:E53)=D$10,F53,D$10-SUM(E$17:E53))</f>
        <v>348326.9042081926</v>
      </c>
      <c r="E54" s="484">
        <f t="shared" si="3"/>
        <v>60406.880952380954</v>
      </c>
      <c r="F54" s="485">
        <f t="shared" si="4"/>
        <v>287920.02325581165</v>
      </c>
      <c r="G54" s="486">
        <f t="shared" si="5"/>
        <v>94704.167897846201</v>
      </c>
      <c r="H54" s="455">
        <f t="shared" si="6"/>
        <v>94704.167897846201</v>
      </c>
      <c r="I54" s="475">
        <f t="shared" si="7"/>
        <v>0</v>
      </c>
      <c r="J54" s="475"/>
      <c r="K54" s="487"/>
      <c r="L54" s="478">
        <f t="shared" si="8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9"/>
        <v/>
      </c>
      <c r="C55" s="472">
        <f>IF(D11="","-",+C54+1)</f>
        <v>2058</v>
      </c>
      <c r="D55" s="483">
        <f>IF(F54+SUM(E$17:E54)=D$10,F54,D$10-SUM(E$17:E54))</f>
        <v>287920.02325581165</v>
      </c>
      <c r="E55" s="484">
        <f t="shared" si="3"/>
        <v>60406.880952380954</v>
      </c>
      <c r="F55" s="485">
        <f t="shared" si="4"/>
        <v>227513.14230343071</v>
      </c>
      <c r="G55" s="486">
        <f t="shared" si="5"/>
        <v>88191.626807039662</v>
      </c>
      <c r="H55" s="455">
        <f t="shared" si="6"/>
        <v>88191.626807039662</v>
      </c>
      <c r="I55" s="475">
        <f t="shared" si="7"/>
        <v>0</v>
      </c>
      <c r="J55" s="475"/>
      <c r="K55" s="487"/>
      <c r="L55" s="478">
        <f t="shared" si="8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9"/>
        <v/>
      </c>
      <c r="C56" s="472">
        <f>IF(D11="","-",+C55+1)</f>
        <v>2059</v>
      </c>
      <c r="D56" s="483">
        <f>IF(F55+SUM(E$17:E55)=D$10,F55,D$10-SUM(E$17:E55))</f>
        <v>227513.14230343071</v>
      </c>
      <c r="E56" s="484">
        <f t="shared" si="3"/>
        <v>60406.880952380954</v>
      </c>
      <c r="F56" s="485">
        <f t="shared" si="4"/>
        <v>167106.26135104976</v>
      </c>
      <c r="G56" s="486">
        <f t="shared" si="5"/>
        <v>81679.085716233123</v>
      </c>
      <c r="H56" s="455">
        <f t="shared" si="6"/>
        <v>81679.085716233123</v>
      </c>
      <c r="I56" s="475">
        <f t="shared" si="7"/>
        <v>0</v>
      </c>
      <c r="J56" s="475"/>
      <c r="K56" s="487"/>
      <c r="L56" s="478">
        <f t="shared" si="8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9"/>
        <v/>
      </c>
      <c r="C57" s="472">
        <f>IF(D11="","-",+C56+1)</f>
        <v>2060</v>
      </c>
      <c r="D57" s="483">
        <f>IF(F56+SUM(E$17:E56)=D$10,F56,D$10-SUM(E$17:E56))</f>
        <v>167106.26135104976</v>
      </c>
      <c r="E57" s="484">
        <f t="shared" si="3"/>
        <v>60406.880952380954</v>
      </c>
      <c r="F57" s="485">
        <f t="shared" si="4"/>
        <v>106699.38039866881</v>
      </c>
      <c r="G57" s="486">
        <f t="shared" si="5"/>
        <v>75166.54462542657</v>
      </c>
      <c r="H57" s="455">
        <f t="shared" si="6"/>
        <v>75166.54462542657</v>
      </c>
      <c r="I57" s="475">
        <f t="shared" si="7"/>
        <v>0</v>
      </c>
      <c r="J57" s="475"/>
      <c r="K57" s="487"/>
      <c r="L57" s="478">
        <f t="shared" si="8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9"/>
        <v/>
      </c>
      <c r="C58" s="472">
        <f>IF(D11="","-",+C57+1)</f>
        <v>2061</v>
      </c>
      <c r="D58" s="483">
        <f>IF(F57+SUM(E$17:E57)=D$10,F57,D$10-SUM(E$17:E57))</f>
        <v>106699.38039866881</v>
      </c>
      <c r="E58" s="484">
        <f t="shared" si="3"/>
        <v>60406.880952380954</v>
      </c>
      <c r="F58" s="485">
        <f t="shared" si="4"/>
        <v>46292.49944628786</v>
      </c>
      <c r="G58" s="486">
        <f t="shared" si="5"/>
        <v>68654.003534620031</v>
      </c>
      <c r="H58" s="455">
        <f t="shared" si="6"/>
        <v>68654.003534620031</v>
      </c>
      <c r="I58" s="475">
        <f t="shared" si="7"/>
        <v>0</v>
      </c>
      <c r="J58" s="475"/>
      <c r="K58" s="487"/>
      <c r="L58" s="478">
        <f t="shared" si="8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9"/>
        <v/>
      </c>
      <c r="C59" s="472">
        <f>IF(D11="","-",+C58+1)</f>
        <v>2062</v>
      </c>
      <c r="D59" s="483">
        <f>IF(F58+SUM(E$17:E58)=D$10,F58,D$10-SUM(E$17:E58))</f>
        <v>46292.49944628786</v>
      </c>
      <c r="E59" s="484">
        <f t="shared" si="3"/>
        <v>46292.49944628786</v>
      </c>
      <c r="F59" s="485">
        <f t="shared" si="4"/>
        <v>0</v>
      </c>
      <c r="G59" s="486">
        <f t="shared" si="5"/>
        <v>48787.925464705768</v>
      </c>
      <c r="H59" s="455">
        <f t="shared" si="6"/>
        <v>48787.925464705768</v>
      </c>
      <c r="I59" s="475">
        <f t="shared" si="7"/>
        <v>0</v>
      </c>
      <c r="J59" s="475"/>
      <c r="K59" s="487"/>
      <c r="L59" s="478">
        <f t="shared" si="8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9"/>
        <v/>
      </c>
      <c r="C60" s="472">
        <f>IF(D11="","-",+C59+1)</f>
        <v>2063</v>
      </c>
      <c r="D60" s="483">
        <f>IF(F59+SUM(E$17:E59)=D$10,F59,D$10-SUM(E$17:E59))</f>
        <v>0</v>
      </c>
      <c r="E60" s="484">
        <f t="shared" si="3"/>
        <v>0</v>
      </c>
      <c r="F60" s="485">
        <f t="shared" si="4"/>
        <v>0</v>
      </c>
      <c r="G60" s="486">
        <f t="shared" si="5"/>
        <v>0</v>
      </c>
      <c r="H60" s="455">
        <f t="shared" si="6"/>
        <v>0</v>
      </c>
      <c r="I60" s="475">
        <f t="shared" si="7"/>
        <v>0</v>
      </c>
      <c r="J60" s="475"/>
      <c r="K60" s="487"/>
      <c r="L60" s="478">
        <f t="shared" si="8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9"/>
        <v/>
      </c>
      <c r="C61" s="472">
        <f>IF(D11="","-",+C60+1)</f>
        <v>2064</v>
      </c>
      <c r="D61" s="483">
        <f>IF(F60+SUM(E$17:E60)=D$10,F60,D$10-SUM(E$17:E60))</f>
        <v>0</v>
      </c>
      <c r="E61" s="484">
        <f t="shared" si="3"/>
        <v>0</v>
      </c>
      <c r="F61" s="485">
        <f t="shared" si="4"/>
        <v>0</v>
      </c>
      <c r="G61" s="486">
        <f t="shared" si="5"/>
        <v>0</v>
      </c>
      <c r="H61" s="455">
        <f t="shared" si="6"/>
        <v>0</v>
      </c>
      <c r="I61" s="475">
        <f t="shared" si="7"/>
        <v>0</v>
      </c>
      <c r="J61" s="475"/>
      <c r="K61" s="487"/>
      <c r="L61" s="478">
        <f t="shared" si="8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9"/>
        <v/>
      </c>
      <c r="C62" s="472">
        <f>IF(D11="","-",+C61+1)</f>
        <v>2065</v>
      </c>
      <c r="D62" s="483">
        <f>IF(F61+SUM(E$17:E61)=D$10,F61,D$10-SUM(E$17:E61))</f>
        <v>0</v>
      </c>
      <c r="E62" s="484">
        <f t="shared" si="3"/>
        <v>0</v>
      </c>
      <c r="F62" s="485">
        <f t="shared" si="4"/>
        <v>0</v>
      </c>
      <c r="G62" s="486">
        <f t="shared" si="5"/>
        <v>0</v>
      </c>
      <c r="H62" s="455">
        <f t="shared" si="6"/>
        <v>0</v>
      </c>
      <c r="I62" s="475">
        <f t="shared" si="7"/>
        <v>0</v>
      </c>
      <c r="J62" s="475"/>
      <c r="K62" s="487"/>
      <c r="L62" s="478">
        <f t="shared" si="8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9"/>
        <v/>
      </c>
      <c r="C63" s="472">
        <f>IF(D11="","-",+C62+1)</f>
        <v>2066</v>
      </c>
      <c r="D63" s="483">
        <f>IF(F62+SUM(E$17:E62)=D$10,F62,D$10-SUM(E$17:E62))</f>
        <v>0</v>
      </c>
      <c r="E63" s="484">
        <f t="shared" si="3"/>
        <v>0</v>
      </c>
      <c r="F63" s="485">
        <f t="shared" si="4"/>
        <v>0</v>
      </c>
      <c r="G63" s="486">
        <f t="shared" si="5"/>
        <v>0</v>
      </c>
      <c r="H63" s="455">
        <f t="shared" si="6"/>
        <v>0</v>
      </c>
      <c r="I63" s="475">
        <f t="shared" si="7"/>
        <v>0</v>
      </c>
      <c r="J63" s="475"/>
      <c r="K63" s="487"/>
      <c r="L63" s="478">
        <f t="shared" si="8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9"/>
        <v/>
      </c>
      <c r="C64" s="472">
        <f>IF(D11="","-",+C63+1)</f>
        <v>2067</v>
      </c>
      <c r="D64" s="483">
        <f>IF(F63+SUM(E$17:E63)=D$10,F63,D$10-SUM(E$17:E63))</f>
        <v>0</v>
      </c>
      <c r="E64" s="484">
        <f t="shared" si="3"/>
        <v>0</v>
      </c>
      <c r="F64" s="485">
        <f t="shared" si="4"/>
        <v>0</v>
      </c>
      <c r="G64" s="486">
        <f t="shared" si="5"/>
        <v>0</v>
      </c>
      <c r="H64" s="455">
        <f t="shared" si="6"/>
        <v>0</v>
      </c>
      <c r="I64" s="475">
        <f t="shared" si="7"/>
        <v>0</v>
      </c>
      <c r="J64" s="475"/>
      <c r="K64" s="487"/>
      <c r="L64" s="478">
        <f t="shared" si="8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9"/>
        <v/>
      </c>
      <c r="C65" s="472">
        <f>IF(D11="","-",+C64+1)</f>
        <v>2068</v>
      </c>
      <c r="D65" s="483">
        <f>IF(F64+SUM(E$17:E64)=D$10,F64,D$10-SUM(E$17:E64))</f>
        <v>0</v>
      </c>
      <c r="E65" s="484">
        <f t="shared" si="3"/>
        <v>0</v>
      </c>
      <c r="F65" s="485">
        <f t="shared" si="4"/>
        <v>0</v>
      </c>
      <c r="G65" s="486">
        <f t="shared" si="5"/>
        <v>0</v>
      </c>
      <c r="H65" s="455">
        <f t="shared" si="6"/>
        <v>0</v>
      </c>
      <c r="I65" s="475">
        <f t="shared" si="7"/>
        <v>0</v>
      </c>
      <c r="J65" s="475"/>
      <c r="K65" s="487"/>
      <c r="L65" s="478">
        <f t="shared" si="8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9"/>
        <v/>
      </c>
      <c r="C66" s="472">
        <f>IF(D11="","-",+C65+1)</f>
        <v>2069</v>
      </c>
      <c r="D66" s="483">
        <f>IF(F65+SUM(E$17:E65)=D$10,F65,D$10-SUM(E$17:E65))</f>
        <v>0</v>
      </c>
      <c r="E66" s="484">
        <f t="shared" si="3"/>
        <v>0</v>
      </c>
      <c r="F66" s="485">
        <f t="shared" si="4"/>
        <v>0</v>
      </c>
      <c r="G66" s="486">
        <f t="shared" si="5"/>
        <v>0</v>
      </c>
      <c r="H66" s="455">
        <f t="shared" si="6"/>
        <v>0</v>
      </c>
      <c r="I66" s="475">
        <f t="shared" si="7"/>
        <v>0</v>
      </c>
      <c r="J66" s="475"/>
      <c r="K66" s="487"/>
      <c r="L66" s="478">
        <f t="shared" si="8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9"/>
        <v/>
      </c>
      <c r="C67" s="472">
        <f>IF(D11="","-",+C66+1)</f>
        <v>2070</v>
      </c>
      <c r="D67" s="483">
        <f>IF(F66+SUM(E$17:E66)=D$10,F66,D$10-SUM(E$17:E66))</f>
        <v>0</v>
      </c>
      <c r="E67" s="484">
        <f t="shared" si="3"/>
        <v>0</v>
      </c>
      <c r="F67" s="485">
        <f t="shared" si="4"/>
        <v>0</v>
      </c>
      <c r="G67" s="486">
        <f t="shared" si="5"/>
        <v>0</v>
      </c>
      <c r="H67" s="455">
        <f t="shared" si="6"/>
        <v>0</v>
      </c>
      <c r="I67" s="475">
        <f t="shared" si="7"/>
        <v>0</v>
      </c>
      <c r="J67" s="475"/>
      <c r="K67" s="487"/>
      <c r="L67" s="478">
        <f t="shared" si="8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9"/>
        <v/>
      </c>
      <c r="C68" s="472">
        <f>IF(D11="","-",+C67+1)</f>
        <v>2071</v>
      </c>
      <c r="D68" s="483">
        <f>IF(F67+SUM(E$17:E67)=D$10,F67,D$10-SUM(E$17:E67))</f>
        <v>0</v>
      </c>
      <c r="E68" s="484">
        <f t="shared" si="3"/>
        <v>0</v>
      </c>
      <c r="F68" s="485">
        <f t="shared" si="4"/>
        <v>0</v>
      </c>
      <c r="G68" s="486">
        <f t="shared" si="5"/>
        <v>0</v>
      </c>
      <c r="H68" s="455">
        <f t="shared" si="6"/>
        <v>0</v>
      </c>
      <c r="I68" s="475">
        <f t="shared" si="7"/>
        <v>0</v>
      </c>
      <c r="J68" s="475"/>
      <c r="K68" s="487"/>
      <c r="L68" s="478">
        <f t="shared" si="8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9"/>
        <v/>
      </c>
      <c r="C69" s="472">
        <f>IF(D11="","-",+C68+1)</f>
        <v>2072</v>
      </c>
      <c r="D69" s="483">
        <f>IF(F68+SUM(E$17:E68)=D$10,F68,D$10-SUM(E$17:E68))</f>
        <v>0</v>
      </c>
      <c r="E69" s="484">
        <f t="shared" si="3"/>
        <v>0</v>
      </c>
      <c r="F69" s="485">
        <f t="shared" si="4"/>
        <v>0</v>
      </c>
      <c r="G69" s="486">
        <f t="shared" si="5"/>
        <v>0</v>
      </c>
      <c r="H69" s="455">
        <f t="shared" si="6"/>
        <v>0</v>
      </c>
      <c r="I69" s="475">
        <f t="shared" si="7"/>
        <v>0</v>
      </c>
      <c r="J69" s="475"/>
      <c r="K69" s="487"/>
      <c r="L69" s="478">
        <f t="shared" si="8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9"/>
        <v/>
      </c>
      <c r="C70" s="472">
        <f>IF(D11="","-",+C69+1)</f>
        <v>2073</v>
      </c>
      <c r="D70" s="483">
        <f>IF(F69+SUM(E$17:E69)=D$10,F69,D$10-SUM(E$17:E69))</f>
        <v>0</v>
      </c>
      <c r="E70" s="484">
        <f t="shared" si="3"/>
        <v>0</v>
      </c>
      <c r="F70" s="485">
        <f t="shared" si="4"/>
        <v>0</v>
      </c>
      <c r="G70" s="486">
        <f t="shared" si="5"/>
        <v>0</v>
      </c>
      <c r="H70" s="455">
        <f t="shared" si="6"/>
        <v>0</v>
      </c>
      <c r="I70" s="475">
        <f t="shared" si="7"/>
        <v>0</v>
      </c>
      <c r="J70" s="475"/>
      <c r="K70" s="487"/>
      <c r="L70" s="478">
        <f t="shared" si="8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9"/>
        <v/>
      </c>
      <c r="C71" s="472">
        <f>IF(D11="","-",+C70+1)</f>
        <v>2074</v>
      </c>
      <c r="D71" s="483">
        <f>IF(F70+SUM(E$17:E70)=D$10,F70,D$10-SUM(E$17:E70))</f>
        <v>0</v>
      </c>
      <c r="E71" s="484">
        <f t="shared" si="3"/>
        <v>0</v>
      </c>
      <c r="F71" s="485">
        <f t="shared" si="4"/>
        <v>0</v>
      </c>
      <c r="G71" s="486">
        <f t="shared" si="5"/>
        <v>0</v>
      </c>
      <c r="H71" s="455">
        <f t="shared" si="6"/>
        <v>0</v>
      </c>
      <c r="I71" s="475">
        <f t="shared" si="7"/>
        <v>0</v>
      </c>
      <c r="J71" s="475"/>
      <c r="K71" s="487"/>
      <c r="L71" s="478">
        <f t="shared" si="8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9"/>
        <v/>
      </c>
      <c r="C72" s="489">
        <f>IF(D11="","-",+C71+1)</f>
        <v>2075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8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2537089</v>
      </c>
      <c r="F73" s="347"/>
      <c r="G73" s="347">
        <f>SUM(G17:G72)</f>
        <v>8286585.6767920768</v>
      </c>
      <c r="H73" s="347">
        <f>SUM(H17:H72)</f>
        <v>8286585.6767920768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28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109448.17204091245</v>
      </c>
      <c r="N87" s="508">
        <f>IF(J92&lt;D11,0,VLOOKUP(J92,C17:O72,11))</f>
        <v>109448.17204091245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145816.89418304947</v>
      </c>
      <c r="N88" s="512">
        <f>IF(J92&lt;D11,0,VLOOKUP(J92,C99:P154,7))</f>
        <v>145816.89418304947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Keystone Dam - Wekiwa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36368.72214213702</v>
      </c>
      <c r="N89" s="517">
        <f>+N88-N87</f>
        <v>36368.72214213702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TP2015118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2529408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v>2020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60224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2020</v>
      </c>
      <c r="D99" s="584">
        <v>0</v>
      </c>
      <c r="E99" s="608">
        <v>0</v>
      </c>
      <c r="F99" s="584">
        <v>2529408</v>
      </c>
      <c r="G99" s="608">
        <v>1264704</v>
      </c>
      <c r="H99" s="587">
        <v>145816.89418304947</v>
      </c>
      <c r="I99" s="607">
        <v>145816.89418304947</v>
      </c>
      <c r="J99" s="478">
        <f>+I99-H99</f>
        <v>0</v>
      </c>
      <c r="K99" s="478"/>
      <c r="L99" s="477">
        <f>+H99</f>
        <v>145816.89418304947</v>
      </c>
      <c r="M99" s="477">
        <f t="shared" ref="M99" si="10">IF(L99&lt;&gt;0,+H99-L99,0)</f>
        <v>0</v>
      </c>
      <c r="N99" s="477">
        <f>+I99</f>
        <v>145816.89418304947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/>
      </c>
      <c r="C100" s="472">
        <f>IF(D93="","-",+C99+1)</f>
        <v>2021</v>
      </c>
      <c r="D100" s="346">
        <f>IF(F99+SUM(E$99:E99)=D$92,F99,D$92-SUM(E$99:E99))</f>
        <v>2529408</v>
      </c>
      <c r="E100" s="484">
        <f>IF(+J$96&lt;F99,J$96,D100)</f>
        <v>60224</v>
      </c>
      <c r="F100" s="485">
        <f>+D100-E100</f>
        <v>2469184</v>
      </c>
      <c r="G100" s="485">
        <f>+(F100+D100)/2</f>
        <v>2499296</v>
      </c>
      <c r="H100" s="613">
        <f t="shared" ref="H100:H154" si="13">+J$94*G100+E100</f>
        <v>329676.21540108125</v>
      </c>
      <c r="I100" s="614">
        <f t="shared" ref="I100:I154" si="14">+J$95*G100+E100</f>
        <v>329676.21540108125</v>
      </c>
      <c r="J100" s="478">
        <f t="shared" ref="J100:J130" si="15">+I100-H100</f>
        <v>0</v>
      </c>
      <c r="K100" s="478"/>
      <c r="L100" s="487"/>
      <c r="M100" s="478">
        <f t="shared" ref="M100:M130" si="16">IF(L100&lt;&gt;0,+H100-L100,0)</f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7">IF(D101=F100,"","IU")</f>
        <v/>
      </c>
      <c r="C101" s="472">
        <f>IF(D93="","-",+C100+1)</f>
        <v>2022</v>
      </c>
      <c r="D101" s="346">
        <f>IF(F100+SUM(E$99:E100)=D$92,F100,D$92-SUM(E$99:E100))</f>
        <v>2469184</v>
      </c>
      <c r="E101" s="484">
        <f t="shared" ref="E101:E154" si="18">IF(+J$96&lt;F100,J$96,D101)</f>
        <v>60224</v>
      </c>
      <c r="F101" s="485">
        <f t="shared" ref="F101:F154" si="19">+D101-E101</f>
        <v>2408960</v>
      </c>
      <c r="G101" s="485">
        <f t="shared" ref="G101:G154" si="20">+(F101+D101)/2</f>
        <v>2439072</v>
      </c>
      <c r="H101" s="613">
        <f t="shared" si="13"/>
        <v>323183.39093358529</v>
      </c>
      <c r="I101" s="614">
        <f t="shared" si="14"/>
        <v>323183.39093358529</v>
      </c>
      <c r="J101" s="478">
        <f t="shared" si="15"/>
        <v>0</v>
      </c>
      <c r="K101" s="478"/>
      <c r="L101" s="487"/>
      <c r="M101" s="478">
        <f t="shared" si="16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7"/>
        <v/>
      </c>
      <c r="C102" s="472">
        <f>IF(D93="","-",+C101+1)</f>
        <v>2023</v>
      </c>
      <c r="D102" s="346">
        <f>IF(F101+SUM(E$99:E101)=D$92,F101,D$92-SUM(E$99:E101))</f>
        <v>2408960</v>
      </c>
      <c r="E102" s="484">
        <f t="shared" si="18"/>
        <v>60224</v>
      </c>
      <c r="F102" s="485">
        <f t="shared" si="19"/>
        <v>2348736</v>
      </c>
      <c r="G102" s="485">
        <f t="shared" si="20"/>
        <v>2378848</v>
      </c>
      <c r="H102" s="613">
        <f t="shared" si="13"/>
        <v>316690.56646608934</v>
      </c>
      <c r="I102" s="614">
        <f t="shared" si="14"/>
        <v>316690.56646608934</v>
      </c>
      <c r="J102" s="478">
        <f t="shared" si="15"/>
        <v>0</v>
      </c>
      <c r="K102" s="478"/>
      <c r="L102" s="487"/>
      <c r="M102" s="478">
        <f t="shared" si="16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7"/>
        <v/>
      </c>
      <c r="C103" s="472">
        <f>IF(D93="","-",+C102+1)</f>
        <v>2024</v>
      </c>
      <c r="D103" s="346">
        <f>IF(F102+SUM(E$99:E102)=D$92,F102,D$92-SUM(E$99:E102))</f>
        <v>2348736</v>
      </c>
      <c r="E103" s="484">
        <f t="shared" si="18"/>
        <v>60224</v>
      </c>
      <c r="F103" s="485">
        <f t="shared" si="19"/>
        <v>2288512</v>
      </c>
      <c r="G103" s="485">
        <f t="shared" si="20"/>
        <v>2318624</v>
      </c>
      <c r="H103" s="613">
        <f t="shared" si="13"/>
        <v>310197.74199859344</v>
      </c>
      <c r="I103" s="614">
        <f t="shared" si="14"/>
        <v>310197.74199859344</v>
      </c>
      <c r="J103" s="478">
        <f t="shared" si="15"/>
        <v>0</v>
      </c>
      <c r="K103" s="478"/>
      <c r="L103" s="487"/>
      <c r="M103" s="478">
        <f t="shared" si="16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7"/>
        <v/>
      </c>
      <c r="C104" s="472">
        <f>IF(D93="","-",+C103+1)</f>
        <v>2025</v>
      </c>
      <c r="D104" s="346">
        <f>IF(F103+SUM(E$99:E103)=D$92,F103,D$92-SUM(E$99:E103))</f>
        <v>2288512</v>
      </c>
      <c r="E104" s="484">
        <f t="shared" si="18"/>
        <v>60224</v>
      </c>
      <c r="F104" s="485">
        <f t="shared" si="19"/>
        <v>2228288</v>
      </c>
      <c r="G104" s="485">
        <f t="shared" si="20"/>
        <v>2258400</v>
      </c>
      <c r="H104" s="613">
        <f t="shared" si="13"/>
        <v>303704.91753109754</v>
      </c>
      <c r="I104" s="614">
        <f t="shared" si="14"/>
        <v>303704.91753109754</v>
      </c>
      <c r="J104" s="478">
        <f t="shared" si="15"/>
        <v>0</v>
      </c>
      <c r="K104" s="478"/>
      <c r="L104" s="487"/>
      <c r="M104" s="478">
        <f t="shared" si="16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7"/>
        <v/>
      </c>
      <c r="C105" s="472">
        <f>IF(D93="","-",+C104+1)</f>
        <v>2026</v>
      </c>
      <c r="D105" s="346">
        <f>IF(F104+SUM(E$99:E104)=D$92,F104,D$92-SUM(E$99:E104))</f>
        <v>2228288</v>
      </c>
      <c r="E105" s="484">
        <f t="shared" si="18"/>
        <v>60224</v>
      </c>
      <c r="F105" s="485">
        <f t="shared" si="19"/>
        <v>2168064</v>
      </c>
      <c r="G105" s="485">
        <f t="shared" si="20"/>
        <v>2198176</v>
      </c>
      <c r="H105" s="613">
        <f t="shared" si="13"/>
        <v>297212.09306360158</v>
      </c>
      <c r="I105" s="614">
        <f t="shared" si="14"/>
        <v>297212.09306360158</v>
      </c>
      <c r="J105" s="478">
        <f t="shared" si="15"/>
        <v>0</v>
      </c>
      <c r="K105" s="478"/>
      <c r="L105" s="487"/>
      <c r="M105" s="478">
        <f t="shared" si="16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7"/>
        <v/>
      </c>
      <c r="C106" s="472">
        <f>IF(D93="","-",+C105+1)</f>
        <v>2027</v>
      </c>
      <c r="D106" s="346">
        <f>IF(F105+SUM(E$99:E105)=D$92,F105,D$92-SUM(E$99:E105))</f>
        <v>2168064</v>
      </c>
      <c r="E106" s="484">
        <f t="shared" si="18"/>
        <v>60224</v>
      </c>
      <c r="F106" s="485">
        <f t="shared" si="19"/>
        <v>2107840</v>
      </c>
      <c r="G106" s="485">
        <f t="shared" si="20"/>
        <v>2137952</v>
      </c>
      <c r="H106" s="613">
        <f t="shared" si="13"/>
        <v>290719.26859610563</v>
      </c>
      <c r="I106" s="614">
        <f t="shared" si="14"/>
        <v>290719.26859610563</v>
      </c>
      <c r="J106" s="478">
        <f t="shared" si="15"/>
        <v>0</v>
      </c>
      <c r="K106" s="478"/>
      <c r="L106" s="487"/>
      <c r="M106" s="478">
        <f t="shared" si="16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7"/>
        <v/>
      </c>
      <c r="C107" s="472">
        <f>IF(D93="","-",+C106+1)</f>
        <v>2028</v>
      </c>
      <c r="D107" s="346">
        <f>IF(F106+SUM(E$99:E106)=D$92,F106,D$92-SUM(E$99:E106))</f>
        <v>2107840</v>
      </c>
      <c r="E107" s="484">
        <f t="shared" si="18"/>
        <v>60224</v>
      </c>
      <c r="F107" s="485">
        <f t="shared" si="19"/>
        <v>2047616</v>
      </c>
      <c r="G107" s="485">
        <f t="shared" si="20"/>
        <v>2077728</v>
      </c>
      <c r="H107" s="613">
        <f t="shared" si="13"/>
        <v>284226.44412860973</v>
      </c>
      <c r="I107" s="614">
        <f t="shared" si="14"/>
        <v>284226.44412860973</v>
      </c>
      <c r="J107" s="478">
        <f t="shared" si="15"/>
        <v>0</v>
      </c>
      <c r="K107" s="478"/>
      <c r="L107" s="487"/>
      <c r="M107" s="478">
        <f t="shared" si="16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7"/>
        <v/>
      </c>
      <c r="C108" s="472">
        <f>IF(D93="","-",+C107+1)</f>
        <v>2029</v>
      </c>
      <c r="D108" s="346">
        <f>IF(F107+SUM(E$99:E107)=D$92,F107,D$92-SUM(E$99:E107))</f>
        <v>2047616</v>
      </c>
      <c r="E108" s="484">
        <f t="shared" si="18"/>
        <v>60224</v>
      </c>
      <c r="F108" s="485">
        <f t="shared" si="19"/>
        <v>1987392</v>
      </c>
      <c r="G108" s="485">
        <f t="shared" si="20"/>
        <v>2017504</v>
      </c>
      <c r="H108" s="613">
        <f t="shared" si="13"/>
        <v>277733.61966111377</v>
      </c>
      <c r="I108" s="614">
        <f t="shared" si="14"/>
        <v>277733.61966111377</v>
      </c>
      <c r="J108" s="478">
        <f t="shared" si="15"/>
        <v>0</v>
      </c>
      <c r="K108" s="478"/>
      <c r="L108" s="487"/>
      <c r="M108" s="478">
        <f t="shared" si="16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7"/>
        <v/>
      </c>
      <c r="C109" s="472">
        <f>IF(D93="","-",+C108+1)</f>
        <v>2030</v>
      </c>
      <c r="D109" s="346">
        <f>IF(F108+SUM(E$99:E108)=D$92,F108,D$92-SUM(E$99:E108))</f>
        <v>1987392</v>
      </c>
      <c r="E109" s="484">
        <f t="shared" si="18"/>
        <v>60224</v>
      </c>
      <c r="F109" s="485">
        <f t="shared" si="19"/>
        <v>1927168</v>
      </c>
      <c r="G109" s="485">
        <f t="shared" si="20"/>
        <v>1957280</v>
      </c>
      <c r="H109" s="613">
        <f t="shared" si="13"/>
        <v>271240.79519361781</v>
      </c>
      <c r="I109" s="614">
        <f t="shared" si="14"/>
        <v>271240.79519361781</v>
      </c>
      <c r="J109" s="478">
        <f t="shared" si="15"/>
        <v>0</v>
      </c>
      <c r="K109" s="478"/>
      <c r="L109" s="487"/>
      <c r="M109" s="478">
        <f t="shared" si="16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7"/>
        <v/>
      </c>
      <c r="C110" s="472">
        <f>IF(D93="","-",+C109+1)</f>
        <v>2031</v>
      </c>
      <c r="D110" s="346">
        <f>IF(F109+SUM(E$99:E109)=D$92,F109,D$92-SUM(E$99:E109))</f>
        <v>1927168</v>
      </c>
      <c r="E110" s="484">
        <f t="shared" si="18"/>
        <v>60224</v>
      </c>
      <c r="F110" s="485">
        <f t="shared" si="19"/>
        <v>1866944</v>
      </c>
      <c r="G110" s="485">
        <f t="shared" si="20"/>
        <v>1897056</v>
      </c>
      <c r="H110" s="613">
        <f t="shared" si="13"/>
        <v>264747.97072612192</v>
      </c>
      <c r="I110" s="614">
        <f t="shared" si="14"/>
        <v>264747.97072612192</v>
      </c>
      <c r="J110" s="478">
        <f t="shared" si="15"/>
        <v>0</v>
      </c>
      <c r="K110" s="478"/>
      <c r="L110" s="487"/>
      <c r="M110" s="478">
        <f t="shared" si="16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7"/>
        <v/>
      </c>
      <c r="C111" s="472">
        <f>IF(D93="","-",+C110+1)</f>
        <v>2032</v>
      </c>
      <c r="D111" s="346">
        <f>IF(F110+SUM(E$99:E110)=D$92,F110,D$92-SUM(E$99:E110))</f>
        <v>1866944</v>
      </c>
      <c r="E111" s="484">
        <f t="shared" si="18"/>
        <v>60224</v>
      </c>
      <c r="F111" s="485">
        <f t="shared" si="19"/>
        <v>1806720</v>
      </c>
      <c r="G111" s="485">
        <f t="shared" si="20"/>
        <v>1836832</v>
      </c>
      <c r="H111" s="613">
        <f t="shared" si="13"/>
        <v>258255.14625862599</v>
      </c>
      <c r="I111" s="614">
        <f t="shared" si="14"/>
        <v>258255.14625862599</v>
      </c>
      <c r="J111" s="478">
        <f t="shared" si="15"/>
        <v>0</v>
      </c>
      <c r="K111" s="478"/>
      <c r="L111" s="487"/>
      <c r="M111" s="478">
        <f t="shared" si="16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7"/>
        <v/>
      </c>
      <c r="C112" s="472">
        <f>IF(D93="","-",+C111+1)</f>
        <v>2033</v>
      </c>
      <c r="D112" s="346">
        <f>IF(F111+SUM(E$99:E111)=D$92,F111,D$92-SUM(E$99:E111))</f>
        <v>1806720</v>
      </c>
      <c r="E112" s="484">
        <f t="shared" si="18"/>
        <v>60224</v>
      </c>
      <c r="F112" s="485">
        <f t="shared" si="19"/>
        <v>1746496</v>
      </c>
      <c r="G112" s="485">
        <f t="shared" si="20"/>
        <v>1776608</v>
      </c>
      <c r="H112" s="613">
        <f t="shared" si="13"/>
        <v>251762.32179113003</v>
      </c>
      <c r="I112" s="614">
        <f t="shared" si="14"/>
        <v>251762.32179113003</v>
      </c>
      <c r="J112" s="478">
        <f t="shared" si="15"/>
        <v>0</v>
      </c>
      <c r="K112" s="478"/>
      <c r="L112" s="487"/>
      <c r="M112" s="478">
        <f t="shared" si="16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7"/>
        <v/>
      </c>
      <c r="C113" s="472">
        <f>IF(D93="","-",+C112+1)</f>
        <v>2034</v>
      </c>
      <c r="D113" s="346">
        <f>IF(F112+SUM(E$99:E112)=D$92,F112,D$92-SUM(E$99:E112))</f>
        <v>1746496</v>
      </c>
      <c r="E113" s="484">
        <f t="shared" si="18"/>
        <v>60224</v>
      </c>
      <c r="F113" s="485">
        <f t="shared" si="19"/>
        <v>1686272</v>
      </c>
      <c r="G113" s="485">
        <f t="shared" si="20"/>
        <v>1716384</v>
      </c>
      <c r="H113" s="613">
        <f t="shared" si="13"/>
        <v>245269.4973236341</v>
      </c>
      <c r="I113" s="614">
        <f t="shared" si="14"/>
        <v>245269.4973236341</v>
      </c>
      <c r="J113" s="478">
        <f t="shared" si="15"/>
        <v>0</v>
      </c>
      <c r="K113" s="478"/>
      <c r="L113" s="487"/>
      <c r="M113" s="478">
        <f t="shared" si="16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7"/>
        <v/>
      </c>
      <c r="C114" s="472">
        <f>IF(D93="","-",+C113+1)</f>
        <v>2035</v>
      </c>
      <c r="D114" s="346">
        <f>IF(F113+SUM(E$99:E113)=D$92,F113,D$92-SUM(E$99:E113))</f>
        <v>1686272</v>
      </c>
      <c r="E114" s="484">
        <f t="shared" si="18"/>
        <v>60224</v>
      </c>
      <c r="F114" s="485">
        <f t="shared" si="19"/>
        <v>1626048</v>
      </c>
      <c r="G114" s="485">
        <f t="shared" si="20"/>
        <v>1656160</v>
      </c>
      <c r="H114" s="613">
        <f t="shared" si="13"/>
        <v>238776.67285613818</v>
      </c>
      <c r="I114" s="614">
        <f t="shared" si="14"/>
        <v>238776.67285613818</v>
      </c>
      <c r="J114" s="478">
        <f t="shared" si="15"/>
        <v>0</v>
      </c>
      <c r="K114" s="478"/>
      <c r="L114" s="487"/>
      <c r="M114" s="478">
        <f t="shared" si="16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7"/>
        <v/>
      </c>
      <c r="C115" s="472">
        <f>IF(D93="","-",+C114+1)</f>
        <v>2036</v>
      </c>
      <c r="D115" s="346">
        <f>IF(F114+SUM(E$99:E114)=D$92,F114,D$92-SUM(E$99:E114))</f>
        <v>1626048</v>
      </c>
      <c r="E115" s="484">
        <f t="shared" si="18"/>
        <v>60224</v>
      </c>
      <c r="F115" s="485">
        <f t="shared" si="19"/>
        <v>1565824</v>
      </c>
      <c r="G115" s="485">
        <f t="shared" si="20"/>
        <v>1595936</v>
      </c>
      <c r="H115" s="613">
        <f t="shared" si="13"/>
        <v>232283.84838864225</v>
      </c>
      <c r="I115" s="614">
        <f t="shared" si="14"/>
        <v>232283.84838864225</v>
      </c>
      <c r="J115" s="478">
        <f t="shared" si="15"/>
        <v>0</v>
      </c>
      <c r="K115" s="478"/>
      <c r="L115" s="487"/>
      <c r="M115" s="478">
        <f t="shared" si="16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7"/>
        <v/>
      </c>
      <c r="C116" s="472">
        <f>IF(D93="","-",+C115+1)</f>
        <v>2037</v>
      </c>
      <c r="D116" s="346">
        <f>IF(F115+SUM(E$99:E115)=D$92,F115,D$92-SUM(E$99:E115))</f>
        <v>1565824</v>
      </c>
      <c r="E116" s="484">
        <f t="shared" si="18"/>
        <v>60224</v>
      </c>
      <c r="F116" s="485">
        <f t="shared" si="19"/>
        <v>1505600</v>
      </c>
      <c r="G116" s="485">
        <f t="shared" si="20"/>
        <v>1535712</v>
      </c>
      <c r="H116" s="613">
        <f t="shared" si="13"/>
        <v>225791.02392114632</v>
      </c>
      <c r="I116" s="614">
        <f t="shared" si="14"/>
        <v>225791.02392114632</v>
      </c>
      <c r="J116" s="478">
        <f t="shared" si="15"/>
        <v>0</v>
      </c>
      <c r="K116" s="478"/>
      <c r="L116" s="487"/>
      <c r="M116" s="478">
        <f t="shared" si="16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7"/>
        <v/>
      </c>
      <c r="C117" s="472">
        <f>IF(D93="","-",+C116+1)</f>
        <v>2038</v>
      </c>
      <c r="D117" s="346">
        <f>IF(F116+SUM(E$99:E116)=D$92,F116,D$92-SUM(E$99:E116))</f>
        <v>1505600</v>
      </c>
      <c r="E117" s="484">
        <f t="shared" si="18"/>
        <v>60224</v>
      </c>
      <c r="F117" s="485">
        <f t="shared" si="19"/>
        <v>1445376</v>
      </c>
      <c r="G117" s="485">
        <f t="shared" si="20"/>
        <v>1475488</v>
      </c>
      <c r="H117" s="613">
        <f t="shared" si="13"/>
        <v>219298.19945365036</v>
      </c>
      <c r="I117" s="614">
        <f t="shared" si="14"/>
        <v>219298.19945365036</v>
      </c>
      <c r="J117" s="478">
        <f t="shared" si="15"/>
        <v>0</v>
      </c>
      <c r="K117" s="478"/>
      <c r="L117" s="487"/>
      <c r="M117" s="478">
        <f t="shared" si="16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7"/>
        <v/>
      </c>
      <c r="C118" s="472">
        <f>IF(D93="","-",+C117+1)</f>
        <v>2039</v>
      </c>
      <c r="D118" s="346">
        <f>IF(F117+SUM(E$99:E117)=D$92,F117,D$92-SUM(E$99:E117))</f>
        <v>1445376</v>
      </c>
      <c r="E118" s="484">
        <f t="shared" si="18"/>
        <v>60224</v>
      </c>
      <c r="F118" s="485">
        <f t="shared" si="19"/>
        <v>1385152</v>
      </c>
      <c r="G118" s="485">
        <f t="shared" si="20"/>
        <v>1415264</v>
      </c>
      <c r="H118" s="613">
        <f t="shared" si="13"/>
        <v>212805.37498615443</v>
      </c>
      <c r="I118" s="614">
        <f t="shared" si="14"/>
        <v>212805.37498615443</v>
      </c>
      <c r="J118" s="478">
        <f t="shared" si="15"/>
        <v>0</v>
      </c>
      <c r="K118" s="478"/>
      <c r="L118" s="487"/>
      <c r="M118" s="478">
        <f t="shared" si="16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7"/>
        <v/>
      </c>
      <c r="C119" s="472">
        <f>IF(D93="","-",+C118+1)</f>
        <v>2040</v>
      </c>
      <c r="D119" s="346">
        <f>IF(F118+SUM(E$99:E118)=D$92,F118,D$92-SUM(E$99:E118))</f>
        <v>1385152</v>
      </c>
      <c r="E119" s="484">
        <f t="shared" si="18"/>
        <v>60224</v>
      </c>
      <c r="F119" s="485">
        <f t="shared" si="19"/>
        <v>1324928</v>
      </c>
      <c r="G119" s="485">
        <f t="shared" si="20"/>
        <v>1355040</v>
      </c>
      <c r="H119" s="613">
        <f t="shared" si="13"/>
        <v>206312.55051865851</v>
      </c>
      <c r="I119" s="614">
        <f t="shared" si="14"/>
        <v>206312.55051865851</v>
      </c>
      <c r="J119" s="478">
        <f t="shared" si="15"/>
        <v>0</v>
      </c>
      <c r="K119" s="478"/>
      <c r="L119" s="487"/>
      <c r="M119" s="478">
        <f t="shared" si="16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7"/>
        <v/>
      </c>
      <c r="C120" s="472">
        <f>IF(D93="","-",+C119+1)</f>
        <v>2041</v>
      </c>
      <c r="D120" s="346">
        <f>IF(F119+SUM(E$99:E119)=D$92,F119,D$92-SUM(E$99:E119))</f>
        <v>1324928</v>
      </c>
      <c r="E120" s="484">
        <f t="shared" si="18"/>
        <v>60224</v>
      </c>
      <c r="F120" s="485">
        <f t="shared" si="19"/>
        <v>1264704</v>
      </c>
      <c r="G120" s="485">
        <f t="shared" si="20"/>
        <v>1294816</v>
      </c>
      <c r="H120" s="613">
        <f t="shared" si="13"/>
        <v>199819.72605116258</v>
      </c>
      <c r="I120" s="614">
        <f t="shared" si="14"/>
        <v>199819.72605116258</v>
      </c>
      <c r="J120" s="478">
        <f t="shared" si="15"/>
        <v>0</v>
      </c>
      <c r="K120" s="478"/>
      <c r="L120" s="487"/>
      <c r="M120" s="478">
        <f t="shared" si="16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7"/>
        <v/>
      </c>
      <c r="C121" s="472">
        <f>IF(D93="","-",+C120+1)</f>
        <v>2042</v>
      </c>
      <c r="D121" s="346">
        <f>IF(F120+SUM(E$99:E120)=D$92,F120,D$92-SUM(E$99:E120))</f>
        <v>1264704</v>
      </c>
      <c r="E121" s="484">
        <f t="shared" si="18"/>
        <v>60224</v>
      </c>
      <c r="F121" s="485">
        <f t="shared" si="19"/>
        <v>1204480</v>
      </c>
      <c r="G121" s="485">
        <f t="shared" si="20"/>
        <v>1234592</v>
      </c>
      <c r="H121" s="613">
        <f t="shared" si="13"/>
        <v>193326.90158366665</v>
      </c>
      <c r="I121" s="614">
        <f t="shared" si="14"/>
        <v>193326.90158366665</v>
      </c>
      <c r="J121" s="478">
        <f t="shared" si="15"/>
        <v>0</v>
      </c>
      <c r="K121" s="478"/>
      <c r="L121" s="487"/>
      <c r="M121" s="478">
        <f t="shared" si="16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7"/>
        <v/>
      </c>
      <c r="C122" s="472">
        <f>IF(D93="","-",+C121+1)</f>
        <v>2043</v>
      </c>
      <c r="D122" s="346">
        <f>IF(F121+SUM(E$99:E121)=D$92,F121,D$92-SUM(E$99:E121))</f>
        <v>1204480</v>
      </c>
      <c r="E122" s="484">
        <f t="shared" si="18"/>
        <v>60224</v>
      </c>
      <c r="F122" s="485">
        <f t="shared" si="19"/>
        <v>1144256</v>
      </c>
      <c r="G122" s="485">
        <f t="shared" si="20"/>
        <v>1174368</v>
      </c>
      <c r="H122" s="613">
        <f t="shared" si="13"/>
        <v>186834.07711617072</v>
      </c>
      <c r="I122" s="614">
        <f t="shared" si="14"/>
        <v>186834.07711617072</v>
      </c>
      <c r="J122" s="478">
        <f t="shared" si="15"/>
        <v>0</v>
      </c>
      <c r="K122" s="478"/>
      <c r="L122" s="487"/>
      <c r="M122" s="478">
        <f t="shared" si="16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7"/>
        <v/>
      </c>
      <c r="C123" s="472">
        <f>IF(D93="","-",+C122+1)</f>
        <v>2044</v>
      </c>
      <c r="D123" s="346">
        <f>IF(F122+SUM(E$99:E122)=D$92,F122,D$92-SUM(E$99:E122))</f>
        <v>1144256</v>
      </c>
      <c r="E123" s="484">
        <f t="shared" si="18"/>
        <v>60224</v>
      </c>
      <c r="F123" s="485">
        <f t="shared" si="19"/>
        <v>1084032</v>
      </c>
      <c r="G123" s="485">
        <f t="shared" si="20"/>
        <v>1114144</v>
      </c>
      <c r="H123" s="613">
        <f t="shared" si="13"/>
        <v>180341.25264867477</v>
      </c>
      <c r="I123" s="614">
        <f t="shared" si="14"/>
        <v>180341.25264867477</v>
      </c>
      <c r="J123" s="478">
        <f t="shared" si="15"/>
        <v>0</v>
      </c>
      <c r="K123" s="478"/>
      <c r="L123" s="487"/>
      <c r="M123" s="478">
        <f t="shared" si="16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7"/>
        <v/>
      </c>
      <c r="C124" s="472">
        <f>IF(D93="","-",+C123+1)</f>
        <v>2045</v>
      </c>
      <c r="D124" s="346">
        <f>IF(F123+SUM(E$99:E123)=D$92,F123,D$92-SUM(E$99:E123))</f>
        <v>1084032</v>
      </c>
      <c r="E124" s="484">
        <f t="shared" si="18"/>
        <v>60224</v>
      </c>
      <c r="F124" s="485">
        <f t="shared" si="19"/>
        <v>1023808</v>
      </c>
      <c r="G124" s="485">
        <f t="shared" si="20"/>
        <v>1053920</v>
      </c>
      <c r="H124" s="613">
        <f t="shared" si="13"/>
        <v>173848.42818117884</v>
      </c>
      <c r="I124" s="614">
        <f t="shared" si="14"/>
        <v>173848.42818117884</v>
      </c>
      <c r="J124" s="478">
        <f t="shared" si="15"/>
        <v>0</v>
      </c>
      <c r="K124" s="478"/>
      <c r="L124" s="487"/>
      <c r="M124" s="478">
        <f t="shared" si="16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7"/>
        <v/>
      </c>
      <c r="C125" s="472">
        <f>IF(D93="","-",+C124+1)</f>
        <v>2046</v>
      </c>
      <c r="D125" s="346">
        <f>IF(F124+SUM(E$99:E124)=D$92,F124,D$92-SUM(E$99:E124))</f>
        <v>1023808</v>
      </c>
      <c r="E125" s="484">
        <f t="shared" si="18"/>
        <v>60224</v>
      </c>
      <c r="F125" s="485">
        <f t="shared" si="19"/>
        <v>963584</v>
      </c>
      <c r="G125" s="485">
        <f t="shared" si="20"/>
        <v>993696</v>
      </c>
      <c r="H125" s="613">
        <f t="shared" si="13"/>
        <v>167355.60371368291</v>
      </c>
      <c r="I125" s="614">
        <f t="shared" si="14"/>
        <v>167355.60371368291</v>
      </c>
      <c r="J125" s="478">
        <f t="shared" si="15"/>
        <v>0</v>
      </c>
      <c r="K125" s="478"/>
      <c r="L125" s="487"/>
      <c r="M125" s="478">
        <f t="shared" si="16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7"/>
        <v/>
      </c>
      <c r="C126" s="472">
        <f>IF(D93="","-",+C125+1)</f>
        <v>2047</v>
      </c>
      <c r="D126" s="346">
        <f>IF(F125+SUM(E$99:E125)=D$92,F125,D$92-SUM(E$99:E125))</f>
        <v>963584</v>
      </c>
      <c r="E126" s="484">
        <f t="shared" si="18"/>
        <v>60224</v>
      </c>
      <c r="F126" s="485">
        <f t="shared" si="19"/>
        <v>903360</v>
      </c>
      <c r="G126" s="485">
        <f t="shared" si="20"/>
        <v>933472</v>
      </c>
      <c r="H126" s="613">
        <f t="shared" si="13"/>
        <v>160862.77924618695</v>
      </c>
      <c r="I126" s="614">
        <f t="shared" si="14"/>
        <v>160862.77924618695</v>
      </c>
      <c r="J126" s="478">
        <f t="shared" si="15"/>
        <v>0</v>
      </c>
      <c r="K126" s="478"/>
      <c r="L126" s="487"/>
      <c r="M126" s="478">
        <f t="shared" si="16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7"/>
        <v/>
      </c>
      <c r="C127" s="472">
        <f>IF(D93="","-",+C126+1)</f>
        <v>2048</v>
      </c>
      <c r="D127" s="346">
        <f>IF(F126+SUM(E$99:E126)=D$92,F126,D$92-SUM(E$99:E126))</f>
        <v>903360</v>
      </c>
      <c r="E127" s="484">
        <f t="shared" si="18"/>
        <v>60224</v>
      </c>
      <c r="F127" s="485">
        <f t="shared" si="19"/>
        <v>843136</v>
      </c>
      <c r="G127" s="485">
        <f t="shared" si="20"/>
        <v>873248</v>
      </c>
      <c r="H127" s="613">
        <f t="shared" si="13"/>
        <v>154369.95477869106</v>
      </c>
      <c r="I127" s="614">
        <f t="shared" si="14"/>
        <v>154369.95477869106</v>
      </c>
      <c r="J127" s="478">
        <f t="shared" si="15"/>
        <v>0</v>
      </c>
      <c r="K127" s="478"/>
      <c r="L127" s="487"/>
      <c r="M127" s="478">
        <f t="shared" si="16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7"/>
        <v/>
      </c>
      <c r="C128" s="472">
        <f>IF(D93="","-",+C127+1)</f>
        <v>2049</v>
      </c>
      <c r="D128" s="346">
        <f>IF(F127+SUM(E$99:E127)=D$92,F127,D$92-SUM(E$99:E127))</f>
        <v>843136</v>
      </c>
      <c r="E128" s="484">
        <f t="shared" si="18"/>
        <v>60224</v>
      </c>
      <c r="F128" s="485">
        <f t="shared" si="19"/>
        <v>782912</v>
      </c>
      <c r="G128" s="485">
        <f t="shared" si="20"/>
        <v>813024</v>
      </c>
      <c r="H128" s="613">
        <f t="shared" si="13"/>
        <v>147877.1303111951</v>
      </c>
      <c r="I128" s="614">
        <f t="shared" si="14"/>
        <v>147877.1303111951</v>
      </c>
      <c r="J128" s="478">
        <f t="shared" si="15"/>
        <v>0</v>
      </c>
      <c r="K128" s="478"/>
      <c r="L128" s="487"/>
      <c r="M128" s="478">
        <f t="shared" si="16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7"/>
        <v/>
      </c>
      <c r="C129" s="472">
        <f>IF(D93="","-",+C128+1)</f>
        <v>2050</v>
      </c>
      <c r="D129" s="346">
        <f>IF(F128+SUM(E$99:E128)=D$92,F128,D$92-SUM(E$99:E128))</f>
        <v>782912</v>
      </c>
      <c r="E129" s="484">
        <f t="shared" si="18"/>
        <v>60224</v>
      </c>
      <c r="F129" s="485">
        <f t="shared" si="19"/>
        <v>722688</v>
      </c>
      <c r="G129" s="485">
        <f t="shared" si="20"/>
        <v>752800</v>
      </c>
      <c r="H129" s="613">
        <f t="shared" si="13"/>
        <v>141384.30584369917</v>
      </c>
      <c r="I129" s="614">
        <f t="shared" si="14"/>
        <v>141384.30584369917</v>
      </c>
      <c r="J129" s="478">
        <f t="shared" si="15"/>
        <v>0</v>
      </c>
      <c r="K129" s="478"/>
      <c r="L129" s="487"/>
      <c r="M129" s="478">
        <f t="shared" si="16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7"/>
        <v/>
      </c>
      <c r="C130" s="472">
        <f>IF(D93="","-",+C129+1)</f>
        <v>2051</v>
      </c>
      <c r="D130" s="346">
        <f>IF(F129+SUM(E$99:E129)=D$92,F129,D$92-SUM(E$99:E129))</f>
        <v>722688</v>
      </c>
      <c r="E130" s="484">
        <f t="shared" si="18"/>
        <v>60224</v>
      </c>
      <c r="F130" s="485">
        <f t="shared" si="19"/>
        <v>662464</v>
      </c>
      <c r="G130" s="485">
        <f t="shared" si="20"/>
        <v>692576</v>
      </c>
      <c r="H130" s="613">
        <f t="shared" si="13"/>
        <v>134891.48137620324</v>
      </c>
      <c r="I130" s="614">
        <f t="shared" si="14"/>
        <v>134891.48137620324</v>
      </c>
      <c r="J130" s="478">
        <f t="shared" si="15"/>
        <v>0</v>
      </c>
      <c r="K130" s="478"/>
      <c r="L130" s="487"/>
      <c r="M130" s="478">
        <f t="shared" si="16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7"/>
        <v/>
      </c>
      <c r="C131" s="472">
        <f>IF(D93="","-",+C130+1)</f>
        <v>2052</v>
      </c>
      <c r="D131" s="346">
        <f>IF(F130+SUM(E$99:E130)=D$92,F130,D$92-SUM(E$99:E130))</f>
        <v>662464</v>
      </c>
      <c r="E131" s="484">
        <f t="shared" si="18"/>
        <v>60224</v>
      </c>
      <c r="F131" s="485">
        <f t="shared" si="19"/>
        <v>602240</v>
      </c>
      <c r="G131" s="485">
        <f t="shared" si="20"/>
        <v>632352</v>
      </c>
      <c r="H131" s="613">
        <f t="shared" si="13"/>
        <v>128398.6569087073</v>
      </c>
      <c r="I131" s="614">
        <f t="shared" si="14"/>
        <v>128398.6569087073</v>
      </c>
      <c r="J131" s="478">
        <f t="shared" ref="J131:J154" si="21">+I541-H541</f>
        <v>0</v>
      </c>
      <c r="K131" s="478"/>
      <c r="L131" s="487"/>
      <c r="M131" s="478">
        <f t="shared" ref="M131:M154" si="22">IF(L541&lt;&gt;0,+H541-L541,0)</f>
        <v>0</v>
      </c>
      <c r="N131" s="487"/>
      <c r="O131" s="478">
        <f t="shared" ref="O131:O154" si="23">IF(N541&lt;&gt;0,+I541-N541,0)</f>
        <v>0</v>
      </c>
      <c r="P131" s="478">
        <f t="shared" ref="P131:P154" si="24">+O541-M541</f>
        <v>0</v>
      </c>
    </row>
    <row r="132" spans="2:16">
      <c r="B132" s="160" t="str">
        <f t="shared" si="17"/>
        <v/>
      </c>
      <c r="C132" s="472">
        <f>IF(D93="","-",+C131+1)</f>
        <v>2053</v>
      </c>
      <c r="D132" s="346">
        <f>IF(F131+SUM(E$99:E131)=D$92,F131,D$92-SUM(E$99:E131))</f>
        <v>602240</v>
      </c>
      <c r="E132" s="484">
        <f t="shared" si="18"/>
        <v>60224</v>
      </c>
      <c r="F132" s="485">
        <f t="shared" si="19"/>
        <v>542016</v>
      </c>
      <c r="G132" s="485">
        <f t="shared" si="20"/>
        <v>572128</v>
      </c>
      <c r="H132" s="613">
        <f t="shared" si="13"/>
        <v>121905.83244121137</v>
      </c>
      <c r="I132" s="614">
        <f t="shared" si="14"/>
        <v>121905.83244121137</v>
      </c>
      <c r="J132" s="478">
        <f t="shared" si="21"/>
        <v>0</v>
      </c>
      <c r="K132" s="478"/>
      <c r="L132" s="487"/>
      <c r="M132" s="478">
        <f t="shared" si="22"/>
        <v>0</v>
      </c>
      <c r="N132" s="487"/>
      <c r="O132" s="478">
        <f t="shared" si="23"/>
        <v>0</v>
      </c>
      <c r="P132" s="478">
        <f t="shared" si="24"/>
        <v>0</v>
      </c>
    </row>
    <row r="133" spans="2:16">
      <c r="B133" s="160" t="str">
        <f t="shared" si="17"/>
        <v/>
      </c>
      <c r="C133" s="472">
        <f>IF(D93="","-",+C132+1)</f>
        <v>2054</v>
      </c>
      <c r="D133" s="346">
        <f>IF(F132+SUM(E$99:E132)=D$92,F132,D$92-SUM(E$99:E132))</f>
        <v>542016</v>
      </c>
      <c r="E133" s="484">
        <f t="shared" si="18"/>
        <v>60224</v>
      </c>
      <c r="F133" s="485">
        <f t="shared" si="19"/>
        <v>481792</v>
      </c>
      <c r="G133" s="485">
        <f t="shared" si="20"/>
        <v>511904</v>
      </c>
      <c r="H133" s="613">
        <f t="shared" si="13"/>
        <v>115413.00797371543</v>
      </c>
      <c r="I133" s="614">
        <f t="shared" si="14"/>
        <v>115413.00797371543</v>
      </c>
      <c r="J133" s="478">
        <f t="shared" si="21"/>
        <v>0</v>
      </c>
      <c r="K133" s="478"/>
      <c r="L133" s="487"/>
      <c r="M133" s="478">
        <f t="shared" si="22"/>
        <v>0</v>
      </c>
      <c r="N133" s="487"/>
      <c r="O133" s="478">
        <f t="shared" si="23"/>
        <v>0</v>
      </c>
      <c r="P133" s="478">
        <f t="shared" si="24"/>
        <v>0</v>
      </c>
    </row>
    <row r="134" spans="2:16">
      <c r="B134" s="160" t="str">
        <f t="shared" si="17"/>
        <v/>
      </c>
      <c r="C134" s="472">
        <f>IF(D93="","-",+C133+1)</f>
        <v>2055</v>
      </c>
      <c r="D134" s="346">
        <f>IF(F133+SUM(E$99:E133)=D$92,F133,D$92-SUM(E$99:E133))</f>
        <v>481792</v>
      </c>
      <c r="E134" s="484">
        <f t="shared" si="18"/>
        <v>60224</v>
      </c>
      <c r="F134" s="485">
        <f t="shared" si="19"/>
        <v>421568</v>
      </c>
      <c r="G134" s="485">
        <f t="shared" si="20"/>
        <v>451680</v>
      </c>
      <c r="H134" s="613">
        <f t="shared" si="13"/>
        <v>108920.1835062195</v>
      </c>
      <c r="I134" s="614">
        <f t="shared" si="14"/>
        <v>108920.1835062195</v>
      </c>
      <c r="J134" s="478">
        <f t="shared" si="21"/>
        <v>0</v>
      </c>
      <c r="K134" s="478"/>
      <c r="L134" s="487"/>
      <c r="M134" s="478">
        <f t="shared" si="22"/>
        <v>0</v>
      </c>
      <c r="N134" s="487"/>
      <c r="O134" s="478">
        <f t="shared" si="23"/>
        <v>0</v>
      </c>
      <c r="P134" s="478">
        <f t="shared" si="24"/>
        <v>0</v>
      </c>
    </row>
    <row r="135" spans="2:16">
      <c r="B135" s="160" t="str">
        <f t="shared" si="17"/>
        <v/>
      </c>
      <c r="C135" s="472">
        <f>IF(D93="","-",+C134+1)</f>
        <v>2056</v>
      </c>
      <c r="D135" s="346">
        <f>IF(F134+SUM(E$99:E134)=D$92,F134,D$92-SUM(E$99:E134))</f>
        <v>421568</v>
      </c>
      <c r="E135" s="484">
        <f t="shared" si="18"/>
        <v>60224</v>
      </c>
      <c r="F135" s="485">
        <f t="shared" si="19"/>
        <v>361344</v>
      </c>
      <c r="G135" s="485">
        <f t="shared" si="20"/>
        <v>391456</v>
      </c>
      <c r="H135" s="613">
        <f t="shared" si="13"/>
        <v>102427.35903872357</v>
      </c>
      <c r="I135" s="614">
        <f t="shared" si="14"/>
        <v>102427.35903872357</v>
      </c>
      <c r="J135" s="478">
        <f t="shared" si="21"/>
        <v>0</v>
      </c>
      <c r="K135" s="478"/>
      <c r="L135" s="487"/>
      <c r="M135" s="478">
        <f t="shared" si="22"/>
        <v>0</v>
      </c>
      <c r="N135" s="487"/>
      <c r="O135" s="478">
        <f t="shared" si="23"/>
        <v>0</v>
      </c>
      <c r="P135" s="478">
        <f t="shared" si="24"/>
        <v>0</v>
      </c>
    </row>
    <row r="136" spans="2:16">
      <c r="B136" s="160" t="str">
        <f t="shared" si="17"/>
        <v/>
      </c>
      <c r="C136" s="472">
        <f>IF(D93="","-",+C135+1)</f>
        <v>2057</v>
      </c>
      <c r="D136" s="346">
        <f>IF(F135+SUM(E$99:E135)=D$92,F135,D$92-SUM(E$99:E135))</f>
        <v>361344</v>
      </c>
      <c r="E136" s="484">
        <f t="shared" si="18"/>
        <v>60224</v>
      </c>
      <c r="F136" s="485">
        <f t="shared" si="19"/>
        <v>301120</v>
      </c>
      <c r="G136" s="485">
        <f t="shared" si="20"/>
        <v>331232</v>
      </c>
      <c r="H136" s="613">
        <f t="shared" si="13"/>
        <v>95934.534571227632</v>
      </c>
      <c r="I136" s="614">
        <f t="shared" si="14"/>
        <v>95934.534571227632</v>
      </c>
      <c r="J136" s="478">
        <f t="shared" si="21"/>
        <v>0</v>
      </c>
      <c r="K136" s="478"/>
      <c r="L136" s="487"/>
      <c r="M136" s="478">
        <f t="shared" si="22"/>
        <v>0</v>
      </c>
      <c r="N136" s="487"/>
      <c r="O136" s="478">
        <f t="shared" si="23"/>
        <v>0</v>
      </c>
      <c r="P136" s="478">
        <f t="shared" si="24"/>
        <v>0</v>
      </c>
    </row>
    <row r="137" spans="2:16">
      <c r="B137" s="160" t="str">
        <f t="shared" si="17"/>
        <v/>
      </c>
      <c r="C137" s="472">
        <f>IF(D93="","-",+C136+1)</f>
        <v>2058</v>
      </c>
      <c r="D137" s="346">
        <f>IF(F136+SUM(E$99:E136)=D$92,F136,D$92-SUM(E$99:E136))</f>
        <v>301120</v>
      </c>
      <c r="E137" s="484">
        <f t="shared" si="18"/>
        <v>60224</v>
      </c>
      <c r="F137" s="485">
        <f t="shared" si="19"/>
        <v>240896</v>
      </c>
      <c r="G137" s="485">
        <f t="shared" si="20"/>
        <v>271008</v>
      </c>
      <c r="H137" s="613">
        <f t="shared" si="13"/>
        <v>89441.710103731704</v>
      </c>
      <c r="I137" s="614">
        <f t="shared" si="14"/>
        <v>89441.710103731704</v>
      </c>
      <c r="J137" s="478">
        <f t="shared" si="21"/>
        <v>0</v>
      </c>
      <c r="K137" s="478"/>
      <c r="L137" s="487"/>
      <c r="M137" s="478">
        <f t="shared" si="22"/>
        <v>0</v>
      </c>
      <c r="N137" s="487"/>
      <c r="O137" s="478">
        <f t="shared" si="23"/>
        <v>0</v>
      </c>
      <c r="P137" s="478">
        <f t="shared" si="24"/>
        <v>0</v>
      </c>
    </row>
    <row r="138" spans="2:16">
      <c r="B138" s="160" t="str">
        <f t="shared" si="17"/>
        <v/>
      </c>
      <c r="C138" s="472">
        <f>IF(D93="","-",+C137+1)</f>
        <v>2059</v>
      </c>
      <c r="D138" s="346">
        <f>IF(F137+SUM(E$99:E137)=D$92,F137,D$92-SUM(E$99:E137))</f>
        <v>240896</v>
      </c>
      <c r="E138" s="484">
        <f t="shared" si="18"/>
        <v>60224</v>
      </c>
      <c r="F138" s="485">
        <f t="shared" si="19"/>
        <v>180672</v>
      </c>
      <c r="G138" s="485">
        <f t="shared" si="20"/>
        <v>210784</v>
      </c>
      <c r="H138" s="613">
        <f t="shared" si="13"/>
        <v>82948.885636235762</v>
      </c>
      <c r="I138" s="614">
        <f t="shared" si="14"/>
        <v>82948.885636235762</v>
      </c>
      <c r="J138" s="478">
        <f t="shared" si="21"/>
        <v>0</v>
      </c>
      <c r="K138" s="478"/>
      <c r="L138" s="487"/>
      <c r="M138" s="478">
        <f t="shared" si="22"/>
        <v>0</v>
      </c>
      <c r="N138" s="487"/>
      <c r="O138" s="478">
        <f t="shared" si="23"/>
        <v>0</v>
      </c>
      <c r="P138" s="478">
        <f t="shared" si="24"/>
        <v>0</v>
      </c>
    </row>
    <row r="139" spans="2:16">
      <c r="B139" s="160" t="str">
        <f t="shared" si="17"/>
        <v/>
      </c>
      <c r="C139" s="472">
        <f>IF(D93="","-",+C138+1)</f>
        <v>2060</v>
      </c>
      <c r="D139" s="346">
        <f>IF(F138+SUM(E$99:E138)=D$92,F138,D$92-SUM(E$99:E138))</f>
        <v>180672</v>
      </c>
      <c r="E139" s="484">
        <f t="shared" si="18"/>
        <v>60224</v>
      </c>
      <c r="F139" s="485">
        <f t="shared" si="19"/>
        <v>120448</v>
      </c>
      <c r="G139" s="485">
        <f t="shared" si="20"/>
        <v>150560</v>
      </c>
      <c r="H139" s="613">
        <f t="shared" si="13"/>
        <v>76456.061168739834</v>
      </c>
      <c r="I139" s="614">
        <f t="shared" si="14"/>
        <v>76456.061168739834</v>
      </c>
      <c r="J139" s="478">
        <f t="shared" si="21"/>
        <v>0</v>
      </c>
      <c r="K139" s="478"/>
      <c r="L139" s="487"/>
      <c r="M139" s="478">
        <f t="shared" si="22"/>
        <v>0</v>
      </c>
      <c r="N139" s="487"/>
      <c r="O139" s="478">
        <f t="shared" si="23"/>
        <v>0</v>
      </c>
      <c r="P139" s="478">
        <f t="shared" si="24"/>
        <v>0</v>
      </c>
    </row>
    <row r="140" spans="2:16">
      <c r="B140" s="160" t="str">
        <f t="shared" si="17"/>
        <v/>
      </c>
      <c r="C140" s="472">
        <f>IF(D93="","-",+C139+1)</f>
        <v>2061</v>
      </c>
      <c r="D140" s="346">
        <f>IF(F139+SUM(E$99:E139)=D$92,F139,D$92-SUM(E$99:E139))</f>
        <v>120448</v>
      </c>
      <c r="E140" s="484">
        <f t="shared" si="18"/>
        <v>60224</v>
      </c>
      <c r="F140" s="485">
        <f t="shared" si="19"/>
        <v>60224</v>
      </c>
      <c r="G140" s="485">
        <f t="shared" si="20"/>
        <v>90336</v>
      </c>
      <c r="H140" s="613">
        <f t="shared" si="13"/>
        <v>69963.236701243906</v>
      </c>
      <c r="I140" s="614">
        <f t="shared" si="14"/>
        <v>69963.236701243906</v>
      </c>
      <c r="J140" s="478">
        <f t="shared" si="21"/>
        <v>0</v>
      </c>
      <c r="K140" s="478"/>
      <c r="L140" s="487"/>
      <c r="M140" s="478">
        <f t="shared" si="22"/>
        <v>0</v>
      </c>
      <c r="N140" s="487"/>
      <c r="O140" s="478">
        <f t="shared" si="23"/>
        <v>0</v>
      </c>
      <c r="P140" s="478">
        <f t="shared" si="24"/>
        <v>0</v>
      </c>
    </row>
    <row r="141" spans="2:16">
      <c r="B141" s="160" t="str">
        <f t="shared" si="17"/>
        <v/>
      </c>
      <c r="C141" s="472">
        <f>IF(D93="","-",+C140+1)</f>
        <v>2062</v>
      </c>
      <c r="D141" s="346">
        <f>IF(F140+SUM(E$99:E140)=D$92,F140,D$92-SUM(E$99:E140))</f>
        <v>60224</v>
      </c>
      <c r="E141" s="484">
        <f t="shared" si="18"/>
        <v>60224</v>
      </c>
      <c r="F141" s="485">
        <f t="shared" si="19"/>
        <v>0</v>
      </c>
      <c r="G141" s="485">
        <f t="shared" si="20"/>
        <v>30112</v>
      </c>
      <c r="H141" s="613">
        <f t="shared" si="13"/>
        <v>63470.412233747964</v>
      </c>
      <c r="I141" s="614">
        <f t="shared" si="14"/>
        <v>63470.412233747964</v>
      </c>
      <c r="J141" s="478">
        <f t="shared" si="21"/>
        <v>0</v>
      </c>
      <c r="K141" s="478"/>
      <c r="L141" s="487"/>
      <c r="M141" s="478">
        <f t="shared" si="22"/>
        <v>0</v>
      </c>
      <c r="N141" s="487"/>
      <c r="O141" s="478">
        <f t="shared" si="23"/>
        <v>0</v>
      </c>
      <c r="P141" s="478">
        <f t="shared" si="24"/>
        <v>0</v>
      </c>
    </row>
    <row r="142" spans="2:16">
      <c r="B142" s="160" t="str">
        <f t="shared" si="17"/>
        <v/>
      </c>
      <c r="C142" s="472">
        <f>IF(D93="","-",+C141+1)</f>
        <v>2063</v>
      </c>
      <c r="D142" s="346">
        <f>IF(F141+SUM(E$99:E141)=D$92,F141,D$92-SUM(E$99:E141))</f>
        <v>0</v>
      </c>
      <c r="E142" s="484">
        <f t="shared" si="18"/>
        <v>0</v>
      </c>
      <c r="F142" s="485">
        <f t="shared" si="19"/>
        <v>0</v>
      </c>
      <c r="G142" s="485">
        <f t="shared" si="20"/>
        <v>0</v>
      </c>
      <c r="H142" s="613">
        <f t="shared" si="13"/>
        <v>0</v>
      </c>
      <c r="I142" s="614">
        <f t="shared" si="14"/>
        <v>0</v>
      </c>
      <c r="J142" s="478">
        <f t="shared" si="21"/>
        <v>0</v>
      </c>
      <c r="K142" s="478"/>
      <c r="L142" s="487"/>
      <c r="M142" s="478">
        <f t="shared" si="22"/>
        <v>0</v>
      </c>
      <c r="N142" s="487"/>
      <c r="O142" s="478">
        <f t="shared" si="23"/>
        <v>0</v>
      </c>
      <c r="P142" s="478">
        <f t="shared" si="24"/>
        <v>0</v>
      </c>
    </row>
    <row r="143" spans="2:16">
      <c r="B143" s="160" t="str">
        <f t="shared" si="17"/>
        <v/>
      </c>
      <c r="C143" s="472">
        <f>IF(D93="","-",+C142+1)</f>
        <v>2064</v>
      </c>
      <c r="D143" s="346">
        <f>IF(F142+SUM(E$99:E142)=D$92,F142,D$92-SUM(E$99:E142))</f>
        <v>0</v>
      </c>
      <c r="E143" s="484">
        <f t="shared" si="18"/>
        <v>0</v>
      </c>
      <c r="F143" s="485">
        <f t="shared" si="19"/>
        <v>0</v>
      </c>
      <c r="G143" s="485">
        <f t="shared" si="20"/>
        <v>0</v>
      </c>
      <c r="H143" s="613">
        <f t="shared" si="13"/>
        <v>0</v>
      </c>
      <c r="I143" s="614">
        <f t="shared" si="14"/>
        <v>0</v>
      </c>
      <c r="J143" s="478">
        <f t="shared" si="21"/>
        <v>0</v>
      </c>
      <c r="K143" s="478"/>
      <c r="L143" s="487"/>
      <c r="M143" s="478">
        <f t="shared" si="22"/>
        <v>0</v>
      </c>
      <c r="N143" s="487"/>
      <c r="O143" s="478">
        <f t="shared" si="23"/>
        <v>0</v>
      </c>
      <c r="P143" s="478">
        <f t="shared" si="24"/>
        <v>0</v>
      </c>
    </row>
    <row r="144" spans="2:16">
      <c r="B144" s="160" t="str">
        <f t="shared" si="17"/>
        <v/>
      </c>
      <c r="C144" s="472">
        <f>IF(D93="","-",+C143+1)</f>
        <v>2065</v>
      </c>
      <c r="D144" s="346">
        <f>IF(F143+SUM(E$99:E143)=D$92,F143,D$92-SUM(E$99:E143))</f>
        <v>0</v>
      </c>
      <c r="E144" s="484">
        <f t="shared" si="18"/>
        <v>0</v>
      </c>
      <c r="F144" s="485">
        <f t="shared" si="19"/>
        <v>0</v>
      </c>
      <c r="G144" s="485">
        <f t="shared" si="20"/>
        <v>0</v>
      </c>
      <c r="H144" s="613">
        <f t="shared" si="13"/>
        <v>0</v>
      </c>
      <c r="I144" s="614">
        <f t="shared" si="14"/>
        <v>0</v>
      </c>
      <c r="J144" s="478">
        <f t="shared" si="21"/>
        <v>0</v>
      </c>
      <c r="K144" s="478"/>
      <c r="L144" s="487"/>
      <c r="M144" s="478">
        <f t="shared" si="22"/>
        <v>0</v>
      </c>
      <c r="N144" s="487"/>
      <c r="O144" s="478">
        <f t="shared" si="23"/>
        <v>0</v>
      </c>
      <c r="P144" s="478">
        <f t="shared" si="24"/>
        <v>0</v>
      </c>
    </row>
    <row r="145" spans="2:16">
      <c r="B145" s="160" t="str">
        <f t="shared" si="17"/>
        <v/>
      </c>
      <c r="C145" s="472">
        <f>IF(D93="","-",+C144+1)</f>
        <v>2066</v>
      </c>
      <c r="D145" s="346">
        <f>IF(F144+SUM(E$99:E144)=D$92,F144,D$92-SUM(E$99:E144))</f>
        <v>0</v>
      </c>
      <c r="E145" s="484">
        <f t="shared" si="18"/>
        <v>0</v>
      </c>
      <c r="F145" s="485">
        <f t="shared" si="19"/>
        <v>0</v>
      </c>
      <c r="G145" s="485">
        <f t="shared" si="20"/>
        <v>0</v>
      </c>
      <c r="H145" s="613">
        <f t="shared" si="13"/>
        <v>0</v>
      </c>
      <c r="I145" s="614">
        <f t="shared" si="14"/>
        <v>0</v>
      </c>
      <c r="J145" s="478">
        <f t="shared" si="21"/>
        <v>0</v>
      </c>
      <c r="K145" s="478"/>
      <c r="L145" s="487"/>
      <c r="M145" s="478">
        <f t="shared" si="22"/>
        <v>0</v>
      </c>
      <c r="N145" s="487"/>
      <c r="O145" s="478">
        <f t="shared" si="23"/>
        <v>0</v>
      </c>
      <c r="P145" s="478">
        <f t="shared" si="24"/>
        <v>0</v>
      </c>
    </row>
    <row r="146" spans="2:16">
      <c r="B146" s="160" t="str">
        <f t="shared" si="17"/>
        <v/>
      </c>
      <c r="C146" s="472">
        <f>IF(D93="","-",+C145+1)</f>
        <v>2067</v>
      </c>
      <c r="D146" s="346">
        <f>IF(F145+SUM(E$99:E145)=D$92,F145,D$92-SUM(E$99:E145))</f>
        <v>0</v>
      </c>
      <c r="E146" s="484">
        <f t="shared" si="18"/>
        <v>0</v>
      </c>
      <c r="F146" s="485">
        <f t="shared" si="19"/>
        <v>0</v>
      </c>
      <c r="G146" s="485">
        <f t="shared" si="20"/>
        <v>0</v>
      </c>
      <c r="H146" s="613">
        <f t="shared" si="13"/>
        <v>0</v>
      </c>
      <c r="I146" s="614">
        <f t="shared" si="14"/>
        <v>0</v>
      </c>
      <c r="J146" s="478">
        <f t="shared" si="21"/>
        <v>0</v>
      </c>
      <c r="K146" s="478"/>
      <c r="L146" s="487"/>
      <c r="M146" s="478">
        <f t="shared" si="22"/>
        <v>0</v>
      </c>
      <c r="N146" s="487"/>
      <c r="O146" s="478">
        <f t="shared" si="23"/>
        <v>0</v>
      </c>
      <c r="P146" s="478">
        <f t="shared" si="24"/>
        <v>0</v>
      </c>
    </row>
    <row r="147" spans="2:16">
      <c r="B147" s="160" t="str">
        <f t="shared" si="17"/>
        <v/>
      </c>
      <c r="C147" s="472">
        <f>IF(D93="","-",+C146+1)</f>
        <v>2068</v>
      </c>
      <c r="D147" s="346">
        <f>IF(F146+SUM(E$99:E146)=D$92,F146,D$92-SUM(E$99:E146))</f>
        <v>0</v>
      </c>
      <c r="E147" s="484">
        <f t="shared" si="18"/>
        <v>0</v>
      </c>
      <c r="F147" s="485">
        <f t="shared" si="19"/>
        <v>0</v>
      </c>
      <c r="G147" s="485">
        <f t="shared" si="20"/>
        <v>0</v>
      </c>
      <c r="H147" s="613">
        <f t="shared" si="13"/>
        <v>0</v>
      </c>
      <c r="I147" s="614">
        <f t="shared" si="14"/>
        <v>0</v>
      </c>
      <c r="J147" s="478">
        <f t="shared" si="21"/>
        <v>0</v>
      </c>
      <c r="K147" s="478"/>
      <c r="L147" s="487"/>
      <c r="M147" s="478">
        <f t="shared" si="22"/>
        <v>0</v>
      </c>
      <c r="N147" s="487"/>
      <c r="O147" s="478">
        <f t="shared" si="23"/>
        <v>0</v>
      </c>
      <c r="P147" s="478">
        <f t="shared" si="24"/>
        <v>0</v>
      </c>
    </row>
    <row r="148" spans="2:16">
      <c r="B148" s="160" t="str">
        <f t="shared" si="17"/>
        <v/>
      </c>
      <c r="C148" s="472">
        <f>IF(D93="","-",+C147+1)</f>
        <v>2069</v>
      </c>
      <c r="D148" s="346">
        <f>IF(F147+SUM(E$99:E147)=D$92,F147,D$92-SUM(E$99:E147))</f>
        <v>0</v>
      </c>
      <c r="E148" s="484">
        <f t="shared" si="18"/>
        <v>0</v>
      </c>
      <c r="F148" s="485">
        <f t="shared" si="19"/>
        <v>0</v>
      </c>
      <c r="G148" s="485">
        <f t="shared" si="20"/>
        <v>0</v>
      </c>
      <c r="H148" s="613">
        <f t="shared" si="13"/>
        <v>0</v>
      </c>
      <c r="I148" s="614">
        <f t="shared" si="14"/>
        <v>0</v>
      </c>
      <c r="J148" s="478">
        <f t="shared" si="21"/>
        <v>0</v>
      </c>
      <c r="K148" s="478"/>
      <c r="L148" s="487"/>
      <c r="M148" s="478">
        <f t="shared" si="22"/>
        <v>0</v>
      </c>
      <c r="N148" s="487"/>
      <c r="O148" s="478">
        <f t="shared" si="23"/>
        <v>0</v>
      </c>
      <c r="P148" s="478">
        <f t="shared" si="24"/>
        <v>0</v>
      </c>
    </row>
    <row r="149" spans="2:16">
      <c r="B149" s="160" t="str">
        <f t="shared" si="17"/>
        <v/>
      </c>
      <c r="C149" s="472">
        <f>IF(D93="","-",+C148+1)</f>
        <v>2070</v>
      </c>
      <c r="D149" s="346">
        <f>IF(F148+SUM(E$99:E148)=D$92,F148,D$92-SUM(E$99:E148))</f>
        <v>0</v>
      </c>
      <c r="E149" s="484">
        <f t="shared" si="18"/>
        <v>0</v>
      </c>
      <c r="F149" s="485">
        <f t="shared" si="19"/>
        <v>0</v>
      </c>
      <c r="G149" s="485">
        <f t="shared" si="20"/>
        <v>0</v>
      </c>
      <c r="H149" s="613">
        <f t="shared" si="13"/>
        <v>0</v>
      </c>
      <c r="I149" s="614">
        <f t="shared" si="14"/>
        <v>0</v>
      </c>
      <c r="J149" s="478">
        <f t="shared" si="21"/>
        <v>0</v>
      </c>
      <c r="K149" s="478"/>
      <c r="L149" s="487"/>
      <c r="M149" s="478">
        <f t="shared" si="22"/>
        <v>0</v>
      </c>
      <c r="N149" s="487"/>
      <c r="O149" s="478">
        <f t="shared" si="23"/>
        <v>0</v>
      </c>
      <c r="P149" s="478">
        <f t="shared" si="24"/>
        <v>0</v>
      </c>
    </row>
    <row r="150" spans="2:16">
      <c r="B150" s="160" t="str">
        <f t="shared" si="17"/>
        <v/>
      </c>
      <c r="C150" s="472">
        <f>IF(D93="","-",+C149+1)</f>
        <v>2071</v>
      </c>
      <c r="D150" s="346">
        <f>IF(F149+SUM(E$99:E149)=D$92,F149,D$92-SUM(E$99:E149))</f>
        <v>0</v>
      </c>
      <c r="E150" s="484">
        <f t="shared" si="18"/>
        <v>0</v>
      </c>
      <c r="F150" s="485">
        <f t="shared" si="19"/>
        <v>0</v>
      </c>
      <c r="G150" s="485">
        <f t="shared" si="20"/>
        <v>0</v>
      </c>
      <c r="H150" s="613">
        <f t="shared" si="13"/>
        <v>0</v>
      </c>
      <c r="I150" s="614">
        <f t="shared" si="14"/>
        <v>0</v>
      </c>
      <c r="J150" s="478">
        <f t="shared" si="21"/>
        <v>0</v>
      </c>
      <c r="K150" s="478"/>
      <c r="L150" s="487"/>
      <c r="M150" s="478">
        <f t="shared" si="22"/>
        <v>0</v>
      </c>
      <c r="N150" s="487"/>
      <c r="O150" s="478">
        <f t="shared" si="23"/>
        <v>0</v>
      </c>
      <c r="P150" s="478">
        <f t="shared" si="24"/>
        <v>0</v>
      </c>
    </row>
    <row r="151" spans="2:16">
      <c r="B151" s="160" t="str">
        <f t="shared" si="17"/>
        <v/>
      </c>
      <c r="C151" s="472">
        <f>IF(D93="","-",+C150+1)</f>
        <v>2072</v>
      </c>
      <c r="D151" s="346">
        <f>IF(F150+SUM(E$99:E150)=D$92,F150,D$92-SUM(E$99:E150))</f>
        <v>0</v>
      </c>
      <c r="E151" s="484">
        <f t="shared" si="18"/>
        <v>0</v>
      </c>
      <c r="F151" s="485">
        <f t="shared" si="19"/>
        <v>0</v>
      </c>
      <c r="G151" s="485">
        <f t="shared" si="20"/>
        <v>0</v>
      </c>
      <c r="H151" s="613">
        <f t="shared" si="13"/>
        <v>0</v>
      </c>
      <c r="I151" s="614">
        <f t="shared" si="14"/>
        <v>0</v>
      </c>
      <c r="J151" s="478">
        <f t="shared" si="21"/>
        <v>0</v>
      </c>
      <c r="K151" s="478"/>
      <c r="L151" s="487"/>
      <c r="M151" s="478">
        <f t="shared" si="22"/>
        <v>0</v>
      </c>
      <c r="N151" s="487"/>
      <c r="O151" s="478">
        <f t="shared" si="23"/>
        <v>0</v>
      </c>
      <c r="P151" s="478">
        <f t="shared" si="24"/>
        <v>0</v>
      </c>
    </row>
    <row r="152" spans="2:16">
      <c r="B152" s="160" t="str">
        <f t="shared" si="17"/>
        <v/>
      </c>
      <c r="C152" s="472">
        <f>IF(D93="","-",+C151+1)</f>
        <v>2073</v>
      </c>
      <c r="D152" s="346">
        <f>IF(F151+SUM(E$99:E151)=D$92,F151,D$92-SUM(E$99:E151))</f>
        <v>0</v>
      </c>
      <c r="E152" s="484">
        <f t="shared" si="18"/>
        <v>0</v>
      </c>
      <c r="F152" s="485">
        <f t="shared" si="19"/>
        <v>0</v>
      </c>
      <c r="G152" s="485">
        <f t="shared" si="20"/>
        <v>0</v>
      </c>
      <c r="H152" s="613">
        <f t="shared" si="13"/>
        <v>0</v>
      </c>
      <c r="I152" s="614">
        <f t="shared" si="14"/>
        <v>0</v>
      </c>
      <c r="J152" s="478">
        <f t="shared" si="21"/>
        <v>0</v>
      </c>
      <c r="K152" s="478"/>
      <c r="L152" s="487"/>
      <c r="M152" s="478">
        <f t="shared" si="22"/>
        <v>0</v>
      </c>
      <c r="N152" s="487"/>
      <c r="O152" s="478">
        <f t="shared" si="23"/>
        <v>0</v>
      </c>
      <c r="P152" s="478">
        <f t="shared" si="24"/>
        <v>0</v>
      </c>
    </row>
    <row r="153" spans="2:16">
      <c r="B153" s="160" t="str">
        <f t="shared" si="17"/>
        <v/>
      </c>
      <c r="C153" s="472">
        <f>IF(D93="","-",+C152+1)</f>
        <v>2074</v>
      </c>
      <c r="D153" s="346">
        <f>IF(F152+SUM(E$99:E152)=D$92,F152,D$92-SUM(E$99:E152))</f>
        <v>0</v>
      </c>
      <c r="E153" s="484">
        <f t="shared" si="18"/>
        <v>0</v>
      </c>
      <c r="F153" s="485">
        <f t="shared" si="19"/>
        <v>0</v>
      </c>
      <c r="G153" s="485">
        <f t="shared" si="20"/>
        <v>0</v>
      </c>
      <c r="H153" s="613">
        <f t="shared" si="13"/>
        <v>0</v>
      </c>
      <c r="I153" s="614">
        <f t="shared" si="14"/>
        <v>0</v>
      </c>
      <c r="J153" s="478">
        <f t="shared" si="21"/>
        <v>0</v>
      </c>
      <c r="K153" s="478"/>
      <c r="L153" s="487"/>
      <c r="M153" s="478">
        <f t="shared" si="22"/>
        <v>0</v>
      </c>
      <c r="N153" s="487"/>
      <c r="O153" s="478">
        <f t="shared" si="23"/>
        <v>0</v>
      </c>
      <c r="P153" s="478">
        <f t="shared" si="24"/>
        <v>0</v>
      </c>
    </row>
    <row r="154" spans="2:16" ht="13.5" thickBot="1">
      <c r="B154" s="160" t="str">
        <f t="shared" si="17"/>
        <v/>
      </c>
      <c r="C154" s="489">
        <f>IF(D93="","-",+C153+1)</f>
        <v>2075</v>
      </c>
      <c r="D154" s="543">
        <f>IF(F153+SUM(E$99:E153)=D$92,F153,D$92-SUM(E$99:E153))</f>
        <v>0</v>
      </c>
      <c r="E154" s="491">
        <f t="shared" si="18"/>
        <v>0</v>
      </c>
      <c r="F154" s="490">
        <f t="shared" si="19"/>
        <v>0</v>
      </c>
      <c r="G154" s="490">
        <f t="shared" si="20"/>
        <v>0</v>
      </c>
      <c r="H154" s="615">
        <f t="shared" si="13"/>
        <v>0</v>
      </c>
      <c r="I154" s="616">
        <f t="shared" si="14"/>
        <v>0</v>
      </c>
      <c r="J154" s="495">
        <f t="shared" si="21"/>
        <v>0</v>
      </c>
      <c r="K154" s="478"/>
      <c r="L154" s="494"/>
      <c r="M154" s="495">
        <f t="shared" si="22"/>
        <v>0</v>
      </c>
      <c r="N154" s="494"/>
      <c r="O154" s="495">
        <f t="shared" si="23"/>
        <v>0</v>
      </c>
      <c r="P154" s="495">
        <f t="shared" si="24"/>
        <v>0</v>
      </c>
    </row>
    <row r="155" spans="2:16">
      <c r="C155" s="346" t="s">
        <v>77</v>
      </c>
      <c r="D155" s="347"/>
      <c r="E155" s="347">
        <f>SUM(E99:E154)</f>
        <v>2529408</v>
      </c>
      <c r="F155" s="347"/>
      <c r="G155" s="347"/>
      <c r="H155" s="347">
        <f>SUM(H99:H154)</f>
        <v>8401896.0745144635</v>
      </c>
      <c r="I155" s="347">
        <f>SUM(I99:I154)</f>
        <v>8401896.0745144635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149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9" priority="1" stopIfTrue="1" operator="equal">
      <formula>$I$10</formula>
    </cfRule>
  </conditionalFormatting>
  <conditionalFormatting sqref="C99:C154">
    <cfRule type="cellIs" dxfId="8" priority="2" stopIfTrue="1" operator="equal">
      <formula>$J$92</formula>
    </cfRule>
  </conditionalFormatting>
  <pageMargins left="0.5" right="0.25" top="1" bottom="0.25" header="0.25" footer="0.5"/>
  <pageSetup scale="47" orientation="landscape" r:id="rId1"/>
  <headerFooter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/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29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98065.578092049604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98065.578092049604</v>
      </c>
      <c r="O6" s="232"/>
      <c r="P6" s="232"/>
    </row>
    <row r="7" spans="1:16" ht="13.5" thickBot="1">
      <c r="C7" s="431" t="s">
        <v>46</v>
      </c>
      <c r="D7" s="622" t="s">
        <v>374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375</v>
      </c>
      <c r="E9" s="623" t="s">
        <v>376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1462665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2022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34825.357142857145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2022</v>
      </c>
      <c r="D17" s="63">
        <v>0</v>
      </c>
      <c r="E17" s="64">
        <f>IF(D10&gt;=100000,I$14/12*(12-D12),0)</f>
        <v>20314.791666666668</v>
      </c>
      <c r="F17" s="68">
        <f>IF(D11=C17,+D10-E17,+D17-E17)</f>
        <v>1442350.2083333333</v>
      </c>
      <c r="G17" s="64">
        <f>(D17+F17)/2*I$12+E17</f>
        <v>98065.578092049604</v>
      </c>
      <c r="H17" s="52">
        <f>+(D17+F17)/2*I$13+E17</f>
        <v>98065.578092049604</v>
      </c>
      <c r="I17" s="65">
        <f>H17-G17</f>
        <v>0</v>
      </c>
      <c r="J17" s="475"/>
      <c r="K17" s="554">
        <f>+G17</f>
        <v>98065.578092049604</v>
      </c>
      <c r="L17" s="477">
        <f t="shared" ref="L17:L72" si="0">IF(K17&lt;&gt;0,+G17-K17,0)</f>
        <v>0</v>
      </c>
      <c r="M17" s="554">
        <f>+H17</f>
        <v>98065.578092049604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2023</v>
      </c>
      <c r="D18" s="71">
        <f>IF(F17+SUM(E$17:E17)=D$10,F17,D$10-SUM(E$17:E17))</f>
        <v>1442350.2083333333</v>
      </c>
      <c r="E18" s="69">
        <f>IF(+I$14&lt;F17,I$14,D18)</f>
        <v>34825.357142857145</v>
      </c>
      <c r="F18" s="68">
        <f>+D18-E18</f>
        <v>1407524.8511904762</v>
      </c>
      <c r="G18" s="70">
        <f>(D18+F18)/2*I$12+E18</f>
        <v>188449.64742399607</v>
      </c>
      <c r="H18" s="52">
        <f>+(D18+F18)/2*I$13+E18</f>
        <v>188449.64742399607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/>
      </c>
      <c r="C19" s="472">
        <f>IF(D11="","-",+C18+1)</f>
        <v>2024</v>
      </c>
      <c r="D19" s="71">
        <f>IF(F18+SUM(E$17:E18)=D$10,F18,D$10-SUM(E$17:E18))</f>
        <v>1407524.8511904762</v>
      </c>
      <c r="E19" s="69">
        <f t="shared" ref="E19:E71" si="4">IF(+I$14&lt;F18,I$14,D19)</f>
        <v>34825.357142857145</v>
      </c>
      <c r="F19" s="68">
        <f t="shared" ref="F19:F71" si="5">+D19-E19</f>
        <v>1372699.4940476192</v>
      </c>
      <c r="G19" s="70">
        <f t="shared" ref="G19:G71" si="6">(D19+F19)/2*I$12+E19</f>
        <v>184695.08228474215</v>
      </c>
      <c r="H19" s="52">
        <f t="shared" ref="H19:H71" si="7">+(D19+F19)/2*I$13+E19</f>
        <v>184695.08228474215</v>
      </c>
      <c r="I19" s="65">
        <f t="shared" ref="I19:I71" si="8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9">IF(D20=F19,"","IU")</f>
        <v/>
      </c>
      <c r="C20" s="472">
        <f>IF(D11="","-",+C19+1)</f>
        <v>2025</v>
      </c>
      <c r="D20" s="71">
        <f>IF(F19+SUM(E$17:E19)=D$10,F19,D$10-SUM(E$17:E19))</f>
        <v>1372699.4940476192</v>
      </c>
      <c r="E20" s="69">
        <f t="shared" si="4"/>
        <v>34825.357142857145</v>
      </c>
      <c r="F20" s="68">
        <f t="shared" si="5"/>
        <v>1337874.1369047621</v>
      </c>
      <c r="G20" s="70">
        <f t="shared" si="6"/>
        <v>180940.51714548829</v>
      </c>
      <c r="H20" s="52">
        <f t="shared" si="7"/>
        <v>180940.51714548829</v>
      </c>
      <c r="I20" s="65">
        <f t="shared" si="8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9"/>
        <v/>
      </c>
      <c r="C21" s="472">
        <f>IF(D11="","-",+C20+1)</f>
        <v>2026</v>
      </c>
      <c r="D21" s="71">
        <f>IF(F20+SUM(E$17:E20)=D$10,F20,D$10-SUM(E$17:E20))</f>
        <v>1337874.1369047621</v>
      </c>
      <c r="E21" s="69">
        <f t="shared" si="4"/>
        <v>34825.357142857145</v>
      </c>
      <c r="F21" s="68">
        <f t="shared" si="5"/>
        <v>1303048.7797619051</v>
      </c>
      <c r="G21" s="70">
        <f t="shared" si="6"/>
        <v>177185.95200623438</v>
      </c>
      <c r="H21" s="52">
        <f t="shared" si="7"/>
        <v>177185.95200623438</v>
      </c>
      <c r="I21" s="65">
        <f t="shared" si="8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9"/>
        <v/>
      </c>
      <c r="C22" s="472">
        <f>IF(D11="","-",+C21+1)</f>
        <v>2027</v>
      </c>
      <c r="D22" s="71">
        <f>IF(F21+SUM(E$17:E21)=D$10,F21,D$10-SUM(E$17:E21))</f>
        <v>1303048.7797619051</v>
      </c>
      <c r="E22" s="69">
        <f t="shared" si="4"/>
        <v>34825.357142857145</v>
      </c>
      <c r="F22" s="68">
        <f t="shared" si="5"/>
        <v>1268223.422619048</v>
      </c>
      <c r="G22" s="70">
        <f t="shared" si="6"/>
        <v>173431.38686698052</v>
      </c>
      <c r="H22" s="52">
        <f t="shared" si="7"/>
        <v>173431.38686698052</v>
      </c>
      <c r="I22" s="65">
        <f t="shared" si="8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9"/>
        <v/>
      </c>
      <c r="C23" s="472">
        <f>IF(D11="","-",+C22+1)</f>
        <v>2028</v>
      </c>
      <c r="D23" s="71">
        <f>IF(F22+SUM(E$17:E22)=D$10,F22,D$10-SUM(E$17:E22))</f>
        <v>1268223.422619048</v>
      </c>
      <c r="E23" s="69">
        <f t="shared" si="4"/>
        <v>34825.357142857145</v>
      </c>
      <c r="F23" s="68">
        <f t="shared" si="5"/>
        <v>1233398.065476191</v>
      </c>
      <c r="G23" s="70">
        <f t="shared" si="6"/>
        <v>169676.82172772661</v>
      </c>
      <c r="H23" s="52">
        <f t="shared" si="7"/>
        <v>169676.82172772661</v>
      </c>
      <c r="I23" s="65">
        <f t="shared" si="8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9"/>
        <v/>
      </c>
      <c r="C24" s="472">
        <f>IF(D11="","-",+C23+1)</f>
        <v>2029</v>
      </c>
      <c r="D24" s="71">
        <f>IF(F23+SUM(E$17:E23)=D$10,F23,D$10-SUM(E$17:E23))</f>
        <v>1233398.065476191</v>
      </c>
      <c r="E24" s="69">
        <f t="shared" si="4"/>
        <v>34825.357142857145</v>
      </c>
      <c r="F24" s="68">
        <f t="shared" si="5"/>
        <v>1198572.708333334</v>
      </c>
      <c r="G24" s="70">
        <f t="shared" si="6"/>
        <v>165922.25658847269</v>
      </c>
      <c r="H24" s="52">
        <f t="shared" si="7"/>
        <v>165922.25658847269</v>
      </c>
      <c r="I24" s="65">
        <f t="shared" si="8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9"/>
        <v/>
      </c>
      <c r="C25" s="472">
        <f>IF(D11="","-",+C24+1)</f>
        <v>2030</v>
      </c>
      <c r="D25" s="71">
        <f>IF(F24+SUM(E$17:E24)=D$10,F24,D$10-SUM(E$17:E24))</f>
        <v>1198572.708333334</v>
      </c>
      <c r="E25" s="69">
        <f t="shared" si="4"/>
        <v>34825.357142857145</v>
      </c>
      <c r="F25" s="68">
        <f t="shared" si="5"/>
        <v>1163747.3511904769</v>
      </c>
      <c r="G25" s="70">
        <f t="shared" si="6"/>
        <v>162167.69144921878</v>
      </c>
      <c r="H25" s="52">
        <f t="shared" si="7"/>
        <v>162167.69144921878</v>
      </c>
      <c r="I25" s="65">
        <f t="shared" si="8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9"/>
        <v/>
      </c>
      <c r="C26" s="472">
        <f>IF(D11="","-",+C25+1)</f>
        <v>2031</v>
      </c>
      <c r="D26" s="71">
        <f>IF(F25+SUM(E$17:E25)=D$10,F25,D$10-SUM(E$17:E25))</f>
        <v>1163747.3511904769</v>
      </c>
      <c r="E26" s="69">
        <f t="shared" si="4"/>
        <v>34825.357142857145</v>
      </c>
      <c r="F26" s="68">
        <f t="shared" si="5"/>
        <v>1128921.9940476199</v>
      </c>
      <c r="G26" s="70">
        <f t="shared" si="6"/>
        <v>158413.12630996492</v>
      </c>
      <c r="H26" s="52">
        <f t="shared" si="7"/>
        <v>158413.12630996492</v>
      </c>
      <c r="I26" s="65">
        <f t="shared" si="8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9"/>
        <v/>
      </c>
      <c r="C27" s="472">
        <f>IF(D11="","-",+C26+1)</f>
        <v>2032</v>
      </c>
      <c r="D27" s="71">
        <f>IF(F26+SUM(E$17:E26)=D$10,F26,D$10-SUM(E$17:E26))</f>
        <v>1128921.9940476199</v>
      </c>
      <c r="E27" s="69">
        <f t="shared" si="4"/>
        <v>34825.357142857145</v>
      </c>
      <c r="F27" s="68">
        <f t="shared" si="5"/>
        <v>1094096.6369047628</v>
      </c>
      <c r="G27" s="70">
        <f t="shared" si="6"/>
        <v>154658.56117071101</v>
      </c>
      <c r="H27" s="52">
        <f t="shared" si="7"/>
        <v>154658.56117071101</v>
      </c>
      <c r="I27" s="65">
        <f t="shared" si="8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9"/>
        <v/>
      </c>
      <c r="C28" s="472">
        <f>IF(D11="","-",+C27+1)</f>
        <v>2033</v>
      </c>
      <c r="D28" s="71">
        <f>IF(F27+SUM(E$17:E27)=D$10,F27,D$10-SUM(E$17:E27))</f>
        <v>1094096.6369047628</v>
      </c>
      <c r="E28" s="69">
        <f t="shared" si="4"/>
        <v>34825.357142857145</v>
      </c>
      <c r="F28" s="68">
        <f t="shared" si="5"/>
        <v>1059271.2797619058</v>
      </c>
      <c r="G28" s="70">
        <f t="shared" si="6"/>
        <v>150903.99603145715</v>
      </c>
      <c r="H28" s="52">
        <f t="shared" si="7"/>
        <v>150903.99603145715</v>
      </c>
      <c r="I28" s="65">
        <f t="shared" si="8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9"/>
        <v/>
      </c>
      <c r="C29" s="472">
        <f>IF(D11="","-",+C28+1)</f>
        <v>2034</v>
      </c>
      <c r="D29" s="71">
        <f>IF(F28+SUM(E$17:E28)=D$10,F28,D$10-SUM(E$17:E28))</f>
        <v>1059271.2797619058</v>
      </c>
      <c r="E29" s="69">
        <f t="shared" si="4"/>
        <v>34825.357142857145</v>
      </c>
      <c r="F29" s="68">
        <f t="shared" si="5"/>
        <v>1024445.9226190486</v>
      </c>
      <c r="G29" s="70">
        <f t="shared" si="6"/>
        <v>147149.43089220324</v>
      </c>
      <c r="H29" s="52">
        <f t="shared" si="7"/>
        <v>147149.43089220324</v>
      </c>
      <c r="I29" s="65">
        <f t="shared" si="8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9"/>
        <v/>
      </c>
      <c r="C30" s="472">
        <f>IF(D11="","-",+C29+1)</f>
        <v>2035</v>
      </c>
      <c r="D30" s="71">
        <f>IF(F29+SUM(E$17:E29)=D$10,F29,D$10-SUM(E$17:E29))</f>
        <v>1024445.9226190486</v>
      </c>
      <c r="E30" s="69">
        <f t="shared" si="4"/>
        <v>34825.357142857145</v>
      </c>
      <c r="F30" s="68">
        <f t="shared" si="5"/>
        <v>989620.56547619146</v>
      </c>
      <c r="G30" s="70">
        <f t="shared" si="6"/>
        <v>143394.86575294932</v>
      </c>
      <c r="H30" s="52">
        <f t="shared" si="7"/>
        <v>143394.86575294932</v>
      </c>
      <c r="I30" s="65">
        <f t="shared" si="8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9"/>
        <v/>
      </c>
      <c r="C31" s="472">
        <f>IF(D11="","-",+C30+1)</f>
        <v>2036</v>
      </c>
      <c r="D31" s="71">
        <f>IF(F30+SUM(E$17:E30)=D$10,F30,D$10-SUM(E$17:E30))</f>
        <v>989620.56547619146</v>
      </c>
      <c r="E31" s="69">
        <f t="shared" si="4"/>
        <v>34825.357142857145</v>
      </c>
      <c r="F31" s="68">
        <f t="shared" si="5"/>
        <v>954795.2083333343</v>
      </c>
      <c r="G31" s="70">
        <f t="shared" si="6"/>
        <v>139640.30061369541</v>
      </c>
      <c r="H31" s="52">
        <f t="shared" si="7"/>
        <v>139640.30061369541</v>
      </c>
      <c r="I31" s="65">
        <f t="shared" si="8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9"/>
        <v/>
      </c>
      <c r="C32" s="472">
        <f>IF(D11="","-",+C31+1)</f>
        <v>2037</v>
      </c>
      <c r="D32" s="71">
        <f>IF(F31+SUM(E$17:E31)=D$10,F31,D$10-SUM(E$17:E31))</f>
        <v>954795.2083333343</v>
      </c>
      <c r="E32" s="69">
        <f t="shared" si="4"/>
        <v>34825.357142857145</v>
      </c>
      <c r="F32" s="68">
        <f t="shared" si="5"/>
        <v>919969.85119047714</v>
      </c>
      <c r="G32" s="70">
        <f t="shared" si="6"/>
        <v>135885.73547444152</v>
      </c>
      <c r="H32" s="52">
        <f t="shared" si="7"/>
        <v>135885.73547444152</v>
      </c>
      <c r="I32" s="65">
        <f t="shared" si="8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9"/>
        <v/>
      </c>
      <c r="C33" s="472">
        <f>IF(D11="","-",+C32+1)</f>
        <v>2038</v>
      </c>
      <c r="D33" s="71">
        <f>IF(F32+SUM(E$17:E32)=D$10,F32,D$10-SUM(E$17:E32))</f>
        <v>919969.85119047714</v>
      </c>
      <c r="E33" s="69">
        <f t="shared" si="4"/>
        <v>34825.357142857145</v>
      </c>
      <c r="F33" s="68">
        <f t="shared" si="5"/>
        <v>885144.49404761998</v>
      </c>
      <c r="G33" s="70">
        <f t="shared" si="6"/>
        <v>132131.17033518758</v>
      </c>
      <c r="H33" s="52">
        <f t="shared" si="7"/>
        <v>132131.17033518758</v>
      </c>
      <c r="I33" s="65">
        <f t="shared" si="8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9"/>
        <v/>
      </c>
      <c r="C34" s="472">
        <f>IF(D11="","-",+C33+1)</f>
        <v>2039</v>
      </c>
      <c r="D34" s="71">
        <f>IF(F33+SUM(E$17:E33)=D$10,F33,D$10-SUM(E$17:E33))</f>
        <v>885144.49404761998</v>
      </c>
      <c r="E34" s="69">
        <f t="shared" si="4"/>
        <v>34825.357142857145</v>
      </c>
      <c r="F34" s="68">
        <f t="shared" si="5"/>
        <v>850319.13690476282</v>
      </c>
      <c r="G34" s="70">
        <f t="shared" si="6"/>
        <v>128376.60519593371</v>
      </c>
      <c r="H34" s="52">
        <f t="shared" si="7"/>
        <v>128376.60519593371</v>
      </c>
      <c r="I34" s="65">
        <f t="shared" si="8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9"/>
        <v/>
      </c>
      <c r="C35" s="472">
        <f>IF(D11="","-",+C34+1)</f>
        <v>2040</v>
      </c>
      <c r="D35" s="71">
        <f>IF(F34+SUM(E$17:E34)=D$10,F34,D$10-SUM(E$17:E34))</f>
        <v>850319.13690476282</v>
      </c>
      <c r="E35" s="69">
        <f t="shared" si="4"/>
        <v>34825.357142857145</v>
      </c>
      <c r="F35" s="68">
        <f t="shared" si="5"/>
        <v>815493.77976190567</v>
      </c>
      <c r="G35" s="70">
        <f t="shared" si="6"/>
        <v>124622.04005667979</v>
      </c>
      <c r="H35" s="52">
        <f t="shared" si="7"/>
        <v>124622.04005667979</v>
      </c>
      <c r="I35" s="65">
        <f t="shared" si="8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9"/>
        <v/>
      </c>
      <c r="C36" s="472">
        <f>IF(D11="","-",+C35+1)</f>
        <v>2041</v>
      </c>
      <c r="D36" s="71">
        <f>IF(F35+SUM(E$17:E35)=D$10,F35,D$10-SUM(E$17:E35))</f>
        <v>815493.77976190567</v>
      </c>
      <c r="E36" s="69">
        <f t="shared" si="4"/>
        <v>34825.357142857145</v>
      </c>
      <c r="F36" s="68">
        <f t="shared" si="5"/>
        <v>780668.42261904851</v>
      </c>
      <c r="G36" s="70">
        <f t="shared" si="6"/>
        <v>120867.47491742589</v>
      </c>
      <c r="H36" s="52">
        <f t="shared" si="7"/>
        <v>120867.47491742589</v>
      </c>
      <c r="I36" s="65">
        <f t="shared" si="8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9"/>
        <v/>
      </c>
      <c r="C37" s="472">
        <f>IF(D11="","-",+C36+1)</f>
        <v>2042</v>
      </c>
      <c r="D37" s="71">
        <f>IF(F36+SUM(E$17:E36)=D$10,F36,D$10-SUM(E$17:E36))</f>
        <v>780668.42261904851</v>
      </c>
      <c r="E37" s="69">
        <f t="shared" si="4"/>
        <v>34825.357142857145</v>
      </c>
      <c r="F37" s="68">
        <f t="shared" si="5"/>
        <v>745843.06547619135</v>
      </c>
      <c r="G37" s="70">
        <f t="shared" si="6"/>
        <v>117112.90977817198</v>
      </c>
      <c r="H37" s="52">
        <f t="shared" si="7"/>
        <v>117112.90977817198</v>
      </c>
      <c r="I37" s="65">
        <f t="shared" si="8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9"/>
        <v/>
      </c>
      <c r="C38" s="472">
        <f>IF(D11="","-",+C37+1)</f>
        <v>2043</v>
      </c>
      <c r="D38" s="71">
        <f>IF(F37+SUM(E$17:E37)=D$10,F37,D$10-SUM(E$17:E37))</f>
        <v>745843.06547619135</v>
      </c>
      <c r="E38" s="69">
        <f t="shared" si="4"/>
        <v>34825.357142857145</v>
      </c>
      <c r="F38" s="68">
        <f t="shared" si="5"/>
        <v>711017.70833333419</v>
      </c>
      <c r="G38" s="70">
        <f t="shared" si="6"/>
        <v>113358.34463891808</v>
      </c>
      <c r="H38" s="52">
        <f t="shared" si="7"/>
        <v>113358.34463891808</v>
      </c>
      <c r="I38" s="65">
        <f t="shared" si="8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9"/>
        <v/>
      </c>
      <c r="C39" s="472">
        <f>IF(D11="","-",+C38+1)</f>
        <v>2044</v>
      </c>
      <c r="D39" s="71">
        <f>IF(F38+SUM(E$17:E38)=D$10,F38,D$10-SUM(E$17:E38))</f>
        <v>711017.70833333419</v>
      </c>
      <c r="E39" s="69">
        <f t="shared" si="4"/>
        <v>34825.357142857145</v>
      </c>
      <c r="F39" s="68">
        <f t="shared" si="5"/>
        <v>676192.35119047703</v>
      </c>
      <c r="G39" s="70">
        <f t="shared" si="6"/>
        <v>109603.77949966416</v>
      </c>
      <c r="H39" s="52">
        <f t="shared" si="7"/>
        <v>109603.77949966416</v>
      </c>
      <c r="I39" s="65">
        <f t="shared" si="8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9"/>
        <v/>
      </c>
      <c r="C40" s="472">
        <f>IF(D11="","-",+C39+1)</f>
        <v>2045</v>
      </c>
      <c r="D40" s="71">
        <f>IF(F39+SUM(E$17:E39)=D$10,F39,D$10-SUM(E$17:E39))</f>
        <v>676192.35119047703</v>
      </c>
      <c r="E40" s="69">
        <f t="shared" si="4"/>
        <v>34825.357142857145</v>
      </c>
      <c r="F40" s="68">
        <f t="shared" si="5"/>
        <v>641366.99404761987</v>
      </c>
      <c r="G40" s="70">
        <f t="shared" si="6"/>
        <v>105849.21436041026</v>
      </c>
      <c r="H40" s="52">
        <f t="shared" si="7"/>
        <v>105849.21436041026</v>
      </c>
      <c r="I40" s="65">
        <f t="shared" si="8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9"/>
        <v/>
      </c>
      <c r="C41" s="472">
        <f>IF(D11="","-",+C40+1)</f>
        <v>2046</v>
      </c>
      <c r="D41" s="71">
        <f>IF(F40+SUM(E$17:E40)=D$10,F40,D$10-SUM(E$17:E40))</f>
        <v>641366.99404761987</v>
      </c>
      <c r="E41" s="69">
        <f t="shared" si="4"/>
        <v>34825.357142857145</v>
      </c>
      <c r="F41" s="68">
        <f t="shared" si="5"/>
        <v>606541.63690476271</v>
      </c>
      <c r="G41" s="70">
        <f t="shared" si="6"/>
        <v>102094.64922115635</v>
      </c>
      <c r="H41" s="52">
        <f t="shared" si="7"/>
        <v>102094.64922115635</v>
      </c>
      <c r="I41" s="65">
        <f t="shared" si="8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9"/>
        <v/>
      </c>
      <c r="C42" s="472">
        <f>IF(D11="","-",+C41+1)</f>
        <v>2047</v>
      </c>
      <c r="D42" s="71">
        <f>IF(F41+SUM(E$17:E41)=D$10,F41,D$10-SUM(E$17:E41))</f>
        <v>606541.63690476271</v>
      </c>
      <c r="E42" s="69">
        <f t="shared" si="4"/>
        <v>34825.357142857145</v>
      </c>
      <c r="F42" s="68">
        <f t="shared" si="5"/>
        <v>571716.27976190555</v>
      </c>
      <c r="G42" s="70">
        <f t="shared" si="6"/>
        <v>98340.08408190246</v>
      </c>
      <c r="H42" s="52">
        <f t="shared" si="7"/>
        <v>98340.08408190246</v>
      </c>
      <c r="I42" s="65">
        <f t="shared" si="8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9"/>
        <v/>
      </c>
      <c r="C43" s="472">
        <f>IF(D11="","-",+C42+1)</f>
        <v>2048</v>
      </c>
      <c r="D43" s="71">
        <f>IF(F42+SUM(E$17:E42)=D$10,F42,D$10-SUM(E$17:E42))</f>
        <v>571716.27976190555</v>
      </c>
      <c r="E43" s="69">
        <f t="shared" si="4"/>
        <v>34825.357142857145</v>
      </c>
      <c r="F43" s="68">
        <f t="shared" si="5"/>
        <v>536890.92261904839</v>
      </c>
      <c r="G43" s="70">
        <f t="shared" si="6"/>
        <v>94585.518942648545</v>
      </c>
      <c r="H43" s="52">
        <f t="shared" si="7"/>
        <v>94585.518942648545</v>
      </c>
      <c r="I43" s="65">
        <f t="shared" si="8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9"/>
        <v/>
      </c>
      <c r="C44" s="472">
        <f>IF(D11="","-",+C43+1)</f>
        <v>2049</v>
      </c>
      <c r="D44" s="71">
        <f>IF(F43+SUM(E$17:E43)=D$10,F43,D$10-SUM(E$17:E43))</f>
        <v>536890.92261904839</v>
      </c>
      <c r="E44" s="69">
        <f t="shared" si="4"/>
        <v>34825.357142857145</v>
      </c>
      <c r="F44" s="68">
        <f t="shared" si="5"/>
        <v>502065.56547619123</v>
      </c>
      <c r="G44" s="70">
        <f t="shared" si="6"/>
        <v>90830.95380339463</v>
      </c>
      <c r="H44" s="52">
        <f t="shared" si="7"/>
        <v>90830.95380339463</v>
      </c>
      <c r="I44" s="65">
        <f t="shared" si="8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9"/>
        <v/>
      </c>
      <c r="C45" s="472">
        <f>IF(D11="","-",+C44+1)</f>
        <v>2050</v>
      </c>
      <c r="D45" s="71">
        <f>IF(F44+SUM(E$17:E44)=D$10,F44,D$10-SUM(E$17:E44))</f>
        <v>502065.56547619123</v>
      </c>
      <c r="E45" s="69">
        <f t="shared" si="4"/>
        <v>34825.357142857145</v>
      </c>
      <c r="F45" s="68">
        <f t="shared" si="5"/>
        <v>467240.20833333407</v>
      </c>
      <c r="G45" s="70">
        <f t="shared" si="6"/>
        <v>87076.38866414073</v>
      </c>
      <c r="H45" s="52">
        <f t="shared" si="7"/>
        <v>87076.38866414073</v>
      </c>
      <c r="I45" s="65">
        <f t="shared" si="8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9"/>
        <v/>
      </c>
      <c r="C46" s="472">
        <f>IF(D11="","-",+C45+1)</f>
        <v>2051</v>
      </c>
      <c r="D46" s="71">
        <f>IF(F45+SUM(E$17:E45)=D$10,F45,D$10-SUM(E$17:E45))</f>
        <v>467240.20833333407</v>
      </c>
      <c r="E46" s="69">
        <f t="shared" si="4"/>
        <v>34825.357142857145</v>
      </c>
      <c r="F46" s="68">
        <f t="shared" si="5"/>
        <v>432414.85119047691</v>
      </c>
      <c r="G46" s="70">
        <f t="shared" si="6"/>
        <v>83321.82352488683</v>
      </c>
      <c r="H46" s="52">
        <f t="shared" si="7"/>
        <v>83321.82352488683</v>
      </c>
      <c r="I46" s="65">
        <f t="shared" si="8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9"/>
        <v/>
      </c>
      <c r="C47" s="472">
        <f>IF(D11="","-",+C46+1)</f>
        <v>2052</v>
      </c>
      <c r="D47" s="71">
        <f>IF(F46+SUM(E$17:E46)=D$10,F46,D$10-SUM(E$17:E46))</f>
        <v>432414.85119047691</v>
      </c>
      <c r="E47" s="69">
        <f t="shared" si="4"/>
        <v>34825.357142857145</v>
      </c>
      <c r="F47" s="68">
        <f t="shared" si="5"/>
        <v>397589.49404761975</v>
      </c>
      <c r="G47" s="70">
        <f t="shared" si="6"/>
        <v>79567.258385632915</v>
      </c>
      <c r="H47" s="52">
        <f t="shared" si="7"/>
        <v>79567.258385632915</v>
      </c>
      <c r="I47" s="65">
        <f t="shared" si="8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9"/>
        <v/>
      </c>
      <c r="C48" s="472">
        <f>IF(D11="","-",+C47+1)</f>
        <v>2053</v>
      </c>
      <c r="D48" s="71">
        <f>IF(F47+SUM(E$17:E47)=D$10,F47,D$10-SUM(E$17:E47))</f>
        <v>397589.49404761975</v>
      </c>
      <c r="E48" s="69">
        <f t="shared" si="4"/>
        <v>34825.357142857145</v>
      </c>
      <c r="F48" s="68">
        <f t="shared" si="5"/>
        <v>362764.13690476259</v>
      </c>
      <c r="G48" s="70">
        <f t="shared" si="6"/>
        <v>75812.693246379</v>
      </c>
      <c r="H48" s="52">
        <f t="shared" si="7"/>
        <v>75812.693246379</v>
      </c>
      <c r="I48" s="65">
        <f t="shared" si="8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9"/>
        <v/>
      </c>
      <c r="C49" s="472">
        <f>IF(D11="","-",+C48+1)</f>
        <v>2054</v>
      </c>
      <c r="D49" s="71">
        <f>IF(F48+SUM(E$17:E48)=D$10,F48,D$10-SUM(E$17:E48))</f>
        <v>362764.13690476259</v>
      </c>
      <c r="E49" s="69">
        <f t="shared" si="4"/>
        <v>34825.357142857145</v>
      </c>
      <c r="F49" s="68">
        <f t="shared" si="5"/>
        <v>327938.77976190543</v>
      </c>
      <c r="G49" s="70">
        <f t="shared" si="6"/>
        <v>72058.128107125114</v>
      </c>
      <c r="H49" s="52">
        <f t="shared" si="7"/>
        <v>72058.128107125114</v>
      </c>
      <c r="I49" s="65">
        <f t="shared" si="8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9"/>
        <v/>
      </c>
      <c r="C50" s="472">
        <f>IF(D11="","-",+C49+1)</f>
        <v>2055</v>
      </c>
      <c r="D50" s="71">
        <f>IF(F49+SUM(E$17:E49)=D$10,F49,D$10-SUM(E$17:E49))</f>
        <v>327938.77976190543</v>
      </c>
      <c r="E50" s="69">
        <f t="shared" si="4"/>
        <v>34825.357142857145</v>
      </c>
      <c r="F50" s="68">
        <f t="shared" si="5"/>
        <v>293113.42261904827</v>
      </c>
      <c r="G50" s="70">
        <f t="shared" si="6"/>
        <v>68303.562967871199</v>
      </c>
      <c r="H50" s="52">
        <f t="shared" si="7"/>
        <v>68303.562967871199</v>
      </c>
      <c r="I50" s="65">
        <f t="shared" si="8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9"/>
        <v/>
      </c>
      <c r="C51" s="472">
        <f>IF(D11="","-",+C50+1)</f>
        <v>2056</v>
      </c>
      <c r="D51" s="71">
        <f>IF(F50+SUM(E$17:E50)=D$10,F50,D$10-SUM(E$17:E50))</f>
        <v>293113.42261904827</v>
      </c>
      <c r="E51" s="69">
        <f t="shared" si="4"/>
        <v>34825.357142857145</v>
      </c>
      <c r="F51" s="68">
        <f t="shared" si="5"/>
        <v>258288.06547619111</v>
      </c>
      <c r="G51" s="70">
        <f t="shared" si="6"/>
        <v>64548.997828617292</v>
      </c>
      <c r="H51" s="52">
        <f t="shared" si="7"/>
        <v>64548.997828617292</v>
      </c>
      <c r="I51" s="65">
        <f t="shared" si="8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9"/>
        <v/>
      </c>
      <c r="C52" s="472">
        <f>IF(D11="","-",+C51+1)</f>
        <v>2057</v>
      </c>
      <c r="D52" s="71">
        <f>IF(F51+SUM(E$17:E51)=D$10,F51,D$10-SUM(E$17:E51))</f>
        <v>258288.06547619111</v>
      </c>
      <c r="E52" s="69">
        <f t="shared" si="4"/>
        <v>34825.357142857145</v>
      </c>
      <c r="F52" s="68">
        <f t="shared" si="5"/>
        <v>223462.70833333395</v>
      </c>
      <c r="G52" s="70">
        <f t="shared" si="6"/>
        <v>60794.432689363384</v>
      </c>
      <c r="H52" s="52">
        <f t="shared" si="7"/>
        <v>60794.432689363384</v>
      </c>
      <c r="I52" s="65">
        <f t="shared" si="8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9"/>
        <v/>
      </c>
      <c r="C53" s="472">
        <f>IF(D11="","-",+C52+1)</f>
        <v>2058</v>
      </c>
      <c r="D53" s="71">
        <f>IF(F52+SUM(E$17:E52)=D$10,F52,D$10-SUM(E$17:E52))</f>
        <v>223462.70833333395</v>
      </c>
      <c r="E53" s="69">
        <f t="shared" si="4"/>
        <v>34825.357142857145</v>
      </c>
      <c r="F53" s="68">
        <f t="shared" si="5"/>
        <v>188637.35119047679</v>
      </c>
      <c r="G53" s="70">
        <f t="shared" si="6"/>
        <v>57039.867550109484</v>
      </c>
      <c r="H53" s="52">
        <f t="shared" si="7"/>
        <v>57039.867550109484</v>
      </c>
      <c r="I53" s="65">
        <f t="shared" si="8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9"/>
        <v/>
      </c>
      <c r="C54" s="472">
        <f>IF(D11="","-",+C53+1)</f>
        <v>2059</v>
      </c>
      <c r="D54" s="71">
        <f>IF(F53+SUM(E$17:E53)=D$10,F53,D$10-SUM(E$17:E53))</f>
        <v>188637.35119047679</v>
      </c>
      <c r="E54" s="69">
        <f t="shared" si="4"/>
        <v>34825.357142857145</v>
      </c>
      <c r="F54" s="68">
        <f t="shared" si="5"/>
        <v>153811.99404761964</v>
      </c>
      <c r="G54" s="70">
        <f t="shared" si="6"/>
        <v>53285.302410855569</v>
      </c>
      <c r="H54" s="52">
        <f t="shared" si="7"/>
        <v>53285.302410855569</v>
      </c>
      <c r="I54" s="65">
        <f t="shared" si="8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9"/>
        <v/>
      </c>
      <c r="C55" s="472">
        <f>IF(D11="","-",+C54+1)</f>
        <v>2060</v>
      </c>
      <c r="D55" s="71">
        <f>IF(F54+SUM(E$17:E54)=D$10,F54,D$10-SUM(E$17:E54))</f>
        <v>153811.99404761964</v>
      </c>
      <c r="E55" s="69">
        <f t="shared" si="4"/>
        <v>34825.357142857145</v>
      </c>
      <c r="F55" s="68">
        <f t="shared" si="5"/>
        <v>118986.63690476249</v>
      </c>
      <c r="G55" s="70">
        <f t="shared" si="6"/>
        <v>49530.737271601669</v>
      </c>
      <c r="H55" s="52">
        <f t="shared" si="7"/>
        <v>49530.737271601669</v>
      </c>
      <c r="I55" s="65">
        <f t="shared" si="8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9"/>
        <v/>
      </c>
      <c r="C56" s="472">
        <f>IF(D11="","-",+C55+1)</f>
        <v>2061</v>
      </c>
      <c r="D56" s="71">
        <f>IF(F55+SUM(E$17:E55)=D$10,F55,D$10-SUM(E$17:E55))</f>
        <v>118986.63690476249</v>
      </c>
      <c r="E56" s="69">
        <f t="shared" si="4"/>
        <v>34825.357142857145</v>
      </c>
      <c r="F56" s="68">
        <f t="shared" si="5"/>
        <v>84161.279761905345</v>
      </c>
      <c r="G56" s="70">
        <f t="shared" si="6"/>
        <v>45776.172132347761</v>
      </c>
      <c r="H56" s="52">
        <f t="shared" si="7"/>
        <v>45776.172132347761</v>
      </c>
      <c r="I56" s="65">
        <f t="shared" si="8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9"/>
        <v/>
      </c>
      <c r="C57" s="472">
        <f>IF(D11="","-",+C56+1)</f>
        <v>2062</v>
      </c>
      <c r="D57" s="71">
        <f>IF(F56+SUM(E$17:E56)=D$10,F56,D$10-SUM(E$17:E56))</f>
        <v>84161.279761905345</v>
      </c>
      <c r="E57" s="69">
        <f t="shared" si="4"/>
        <v>34825.357142857145</v>
      </c>
      <c r="F57" s="68">
        <f t="shared" si="5"/>
        <v>49335.9226190482</v>
      </c>
      <c r="G57" s="70">
        <f t="shared" si="6"/>
        <v>42021.606993093854</v>
      </c>
      <c r="H57" s="52">
        <f t="shared" si="7"/>
        <v>42021.606993093854</v>
      </c>
      <c r="I57" s="65">
        <f t="shared" si="8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9"/>
        <v/>
      </c>
      <c r="C58" s="472">
        <f>IF(D11="","-",+C57+1)</f>
        <v>2063</v>
      </c>
      <c r="D58" s="71">
        <f>IF(F57+SUM(E$17:E57)=D$10,F57,D$10-SUM(E$17:E57))</f>
        <v>49335.9226190482</v>
      </c>
      <c r="E58" s="69">
        <f t="shared" si="4"/>
        <v>34825.357142857145</v>
      </c>
      <c r="F58" s="68">
        <f t="shared" si="5"/>
        <v>14510.565476191055</v>
      </c>
      <c r="G58" s="70">
        <f t="shared" si="6"/>
        <v>38267.041853839954</v>
      </c>
      <c r="H58" s="52">
        <f t="shared" si="7"/>
        <v>38267.041853839954</v>
      </c>
      <c r="I58" s="65">
        <f t="shared" si="8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9"/>
        <v/>
      </c>
      <c r="C59" s="472">
        <f>IF(D11="","-",+C58+1)</f>
        <v>2064</v>
      </c>
      <c r="D59" s="71">
        <f>IF(F58+SUM(E$17:E58)=D$10,F58,D$10-SUM(E$17:E58))</f>
        <v>14510.565476191055</v>
      </c>
      <c r="E59" s="69">
        <f t="shared" si="4"/>
        <v>14510.565476191055</v>
      </c>
      <c r="F59" s="68">
        <f t="shared" si="5"/>
        <v>0</v>
      </c>
      <c r="G59" s="70">
        <f t="shared" si="6"/>
        <v>15292.766546868983</v>
      </c>
      <c r="H59" s="52">
        <f t="shared" si="7"/>
        <v>15292.766546868983</v>
      </c>
      <c r="I59" s="65">
        <f t="shared" si="8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9"/>
        <v/>
      </c>
      <c r="C60" s="472">
        <f>IF(D11="","-",+C59+1)</f>
        <v>2065</v>
      </c>
      <c r="D60" s="71">
        <f>IF(F59+SUM(E$17:E59)=D$10,F59,D$10-SUM(E$17:E59))</f>
        <v>0</v>
      </c>
      <c r="E60" s="69">
        <f t="shared" si="4"/>
        <v>0</v>
      </c>
      <c r="F60" s="68">
        <f t="shared" si="5"/>
        <v>0</v>
      </c>
      <c r="G60" s="70">
        <f t="shared" si="6"/>
        <v>0</v>
      </c>
      <c r="H60" s="52">
        <f t="shared" si="7"/>
        <v>0</v>
      </c>
      <c r="I60" s="65">
        <f t="shared" si="8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9"/>
        <v/>
      </c>
      <c r="C61" s="472">
        <f>IF(D11="","-",+C60+1)</f>
        <v>2066</v>
      </c>
      <c r="D61" s="71">
        <f>IF(F60+SUM(E$17:E60)=D$10,F60,D$10-SUM(E$17:E60))</f>
        <v>0</v>
      </c>
      <c r="E61" s="69">
        <f t="shared" si="4"/>
        <v>0</v>
      </c>
      <c r="F61" s="68">
        <f t="shared" si="5"/>
        <v>0</v>
      </c>
      <c r="G61" s="70">
        <f t="shared" si="6"/>
        <v>0</v>
      </c>
      <c r="H61" s="52">
        <f t="shared" si="7"/>
        <v>0</v>
      </c>
      <c r="I61" s="65">
        <f t="shared" si="8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9"/>
        <v/>
      </c>
      <c r="C62" s="472">
        <f>IF(D11="","-",+C61+1)</f>
        <v>2067</v>
      </c>
      <c r="D62" s="71">
        <f>IF(F61+SUM(E$17:E61)=D$10,F61,D$10-SUM(E$17:E61))</f>
        <v>0</v>
      </c>
      <c r="E62" s="69">
        <f t="shared" si="4"/>
        <v>0</v>
      </c>
      <c r="F62" s="68">
        <f t="shared" si="5"/>
        <v>0</v>
      </c>
      <c r="G62" s="70">
        <f t="shared" si="6"/>
        <v>0</v>
      </c>
      <c r="H62" s="52">
        <f t="shared" si="7"/>
        <v>0</v>
      </c>
      <c r="I62" s="65">
        <f t="shared" si="8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9"/>
        <v/>
      </c>
      <c r="C63" s="472">
        <f>IF(D11="","-",+C62+1)</f>
        <v>2068</v>
      </c>
      <c r="D63" s="71">
        <f>IF(F62+SUM(E$17:E62)=D$10,F62,D$10-SUM(E$17:E62))</f>
        <v>0</v>
      </c>
      <c r="E63" s="69">
        <f t="shared" si="4"/>
        <v>0</v>
      </c>
      <c r="F63" s="68">
        <f t="shared" si="5"/>
        <v>0</v>
      </c>
      <c r="G63" s="70">
        <f t="shared" si="6"/>
        <v>0</v>
      </c>
      <c r="H63" s="52">
        <f t="shared" si="7"/>
        <v>0</v>
      </c>
      <c r="I63" s="65">
        <f t="shared" si="8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9"/>
        <v/>
      </c>
      <c r="C64" s="472">
        <f>IF(D11="","-",+C63+1)</f>
        <v>2069</v>
      </c>
      <c r="D64" s="71">
        <f>IF(F63+SUM(E$17:E63)=D$10,F63,D$10-SUM(E$17:E63))</f>
        <v>0</v>
      </c>
      <c r="E64" s="69">
        <f t="shared" si="4"/>
        <v>0</v>
      </c>
      <c r="F64" s="68">
        <f t="shared" si="5"/>
        <v>0</v>
      </c>
      <c r="G64" s="70">
        <f t="shared" si="6"/>
        <v>0</v>
      </c>
      <c r="H64" s="52">
        <f t="shared" si="7"/>
        <v>0</v>
      </c>
      <c r="I64" s="65">
        <f t="shared" si="8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9"/>
        <v/>
      </c>
      <c r="C65" s="472">
        <f>IF(D11="","-",+C64+1)</f>
        <v>2070</v>
      </c>
      <c r="D65" s="71">
        <f>IF(F64+SUM(E$17:E64)=D$10,F64,D$10-SUM(E$17:E64))</f>
        <v>0</v>
      </c>
      <c r="E65" s="69">
        <f t="shared" si="4"/>
        <v>0</v>
      </c>
      <c r="F65" s="68">
        <f t="shared" si="5"/>
        <v>0</v>
      </c>
      <c r="G65" s="70">
        <f t="shared" si="6"/>
        <v>0</v>
      </c>
      <c r="H65" s="52">
        <f t="shared" si="7"/>
        <v>0</v>
      </c>
      <c r="I65" s="65">
        <f t="shared" si="8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9"/>
        <v/>
      </c>
      <c r="C66" s="472">
        <f>IF(D11="","-",+C65+1)</f>
        <v>2071</v>
      </c>
      <c r="D66" s="71">
        <f>IF(F65+SUM(E$17:E65)=D$10,F65,D$10-SUM(E$17:E65))</f>
        <v>0</v>
      </c>
      <c r="E66" s="69">
        <f t="shared" si="4"/>
        <v>0</v>
      </c>
      <c r="F66" s="68">
        <f t="shared" si="5"/>
        <v>0</v>
      </c>
      <c r="G66" s="70">
        <f t="shared" si="6"/>
        <v>0</v>
      </c>
      <c r="H66" s="52">
        <f t="shared" si="7"/>
        <v>0</v>
      </c>
      <c r="I66" s="65">
        <f t="shared" si="8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9"/>
        <v/>
      </c>
      <c r="C67" s="472">
        <f>IF(D11="","-",+C66+1)</f>
        <v>2072</v>
      </c>
      <c r="D67" s="71">
        <f>IF(F66+SUM(E$17:E66)=D$10,F66,D$10-SUM(E$17:E66))</f>
        <v>0</v>
      </c>
      <c r="E67" s="69">
        <f t="shared" si="4"/>
        <v>0</v>
      </c>
      <c r="F67" s="68">
        <f t="shared" si="5"/>
        <v>0</v>
      </c>
      <c r="G67" s="70">
        <f t="shared" si="6"/>
        <v>0</v>
      </c>
      <c r="H67" s="52">
        <f t="shared" si="7"/>
        <v>0</v>
      </c>
      <c r="I67" s="65">
        <f t="shared" si="8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9"/>
        <v/>
      </c>
      <c r="C68" s="472">
        <f>IF(D11="","-",+C67+1)</f>
        <v>2073</v>
      </c>
      <c r="D68" s="71">
        <f>IF(F67+SUM(E$17:E67)=D$10,F67,D$10-SUM(E$17:E67))</f>
        <v>0</v>
      </c>
      <c r="E68" s="69">
        <f t="shared" si="4"/>
        <v>0</v>
      </c>
      <c r="F68" s="68">
        <f t="shared" si="5"/>
        <v>0</v>
      </c>
      <c r="G68" s="70">
        <f t="shared" si="6"/>
        <v>0</v>
      </c>
      <c r="H68" s="52">
        <f t="shared" si="7"/>
        <v>0</v>
      </c>
      <c r="I68" s="65">
        <f t="shared" si="8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9"/>
        <v/>
      </c>
      <c r="C69" s="472">
        <f>IF(D11="","-",+C68+1)</f>
        <v>2074</v>
      </c>
      <c r="D69" s="71">
        <f>IF(F68+SUM(E$17:E68)=D$10,F68,D$10-SUM(E$17:E68))</f>
        <v>0</v>
      </c>
      <c r="E69" s="69">
        <f t="shared" si="4"/>
        <v>0</v>
      </c>
      <c r="F69" s="68">
        <f t="shared" si="5"/>
        <v>0</v>
      </c>
      <c r="G69" s="70">
        <f t="shared" si="6"/>
        <v>0</v>
      </c>
      <c r="H69" s="52">
        <f t="shared" si="7"/>
        <v>0</v>
      </c>
      <c r="I69" s="65">
        <f t="shared" si="8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9"/>
        <v/>
      </c>
      <c r="C70" s="472">
        <f>IF(D11="","-",+C69+1)</f>
        <v>2075</v>
      </c>
      <c r="D70" s="71">
        <f>IF(F69+SUM(E$17:E69)=D$10,F69,D$10-SUM(E$17:E69))</f>
        <v>0</v>
      </c>
      <c r="E70" s="69">
        <f t="shared" si="4"/>
        <v>0</v>
      </c>
      <c r="F70" s="68">
        <f t="shared" si="5"/>
        <v>0</v>
      </c>
      <c r="G70" s="70">
        <f t="shared" si="6"/>
        <v>0</v>
      </c>
      <c r="H70" s="52">
        <f t="shared" si="7"/>
        <v>0</v>
      </c>
      <c r="I70" s="65">
        <f t="shared" si="8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9"/>
        <v/>
      </c>
      <c r="C71" s="472">
        <f>IF(D11="","-",+C70+1)</f>
        <v>2076</v>
      </c>
      <c r="D71" s="71">
        <f>IF(F70+SUM(E$17:E70)=D$10,F70,D$10-SUM(E$17:E70))</f>
        <v>0</v>
      </c>
      <c r="E71" s="69">
        <f t="shared" si="4"/>
        <v>0</v>
      </c>
      <c r="F71" s="68">
        <f t="shared" si="5"/>
        <v>0</v>
      </c>
      <c r="G71" s="70">
        <f t="shared" si="6"/>
        <v>0</v>
      </c>
      <c r="H71" s="52">
        <f t="shared" si="7"/>
        <v>0</v>
      </c>
      <c r="I71" s="65">
        <f t="shared" si="8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9"/>
        <v/>
      </c>
      <c r="C72" s="489">
        <f>IF(D11="","-",+C71+1)</f>
        <v>2077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1462664.9999999998</v>
      </c>
      <c r="F73" s="347"/>
      <c r="G73" s="347">
        <f>SUM(G17:G72)</f>
        <v>4761050.4748345586</v>
      </c>
      <c r="H73" s="347">
        <f>SUM(H17:H72)</f>
        <v>4761050.4748345586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29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4"/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f>IF(D11=I10,0,D10)</f>
        <v>0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+D11</f>
        <v>2022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f>+D12</f>
        <v>5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0</v>
      </c>
      <c r="K96" s="347"/>
      <c r="L96" s="347"/>
      <c r="M96" s="347"/>
      <c r="N96" s="347"/>
      <c r="O96" s="347"/>
      <c r="P96" s="242"/>
    </row>
    <row r="97" spans="1:16" ht="38.25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2022</v>
      </c>
      <c r="D99" s="584">
        <v>0</v>
      </c>
      <c r="E99" s="608">
        <v>0</v>
      </c>
      <c r="F99" s="584">
        <v>2529408</v>
      </c>
      <c r="G99" s="608">
        <v>1264704</v>
      </c>
      <c r="H99" s="587">
        <v>145816.89418304947</v>
      </c>
      <c r="I99" s="607">
        <v>145816.89418304947</v>
      </c>
      <c r="J99" s="478">
        <f>+I99-H99</f>
        <v>0</v>
      </c>
      <c r="K99" s="478"/>
      <c r="L99" s="477">
        <f>+H99</f>
        <v>145816.89418304947</v>
      </c>
      <c r="M99" s="477">
        <f t="shared" ref="M99:M130" si="10">IF(L99&lt;&gt;0,+H99-L99,0)</f>
        <v>0</v>
      </c>
      <c r="N99" s="477">
        <f>+I99</f>
        <v>145816.89418304947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>IU</v>
      </c>
      <c r="C100" s="472">
        <f>IF(D93="","-",+C99+1)</f>
        <v>2023</v>
      </c>
      <c r="D100" s="346">
        <f>IF(F99+SUM(E$99:E99)=D$92,F99,D$92-SUM(E$99:E99))</f>
        <v>0</v>
      </c>
      <c r="E100" s="484">
        <f>IF(+J$96&lt;F99,J$96,D100)</f>
        <v>0</v>
      </c>
      <c r="F100" s="485">
        <f>+D100-E100</f>
        <v>0</v>
      </c>
      <c r="G100" s="485">
        <f>+(F100+D100)/2</f>
        <v>0</v>
      </c>
      <c r="H100" s="613">
        <f t="shared" ref="H100:H154" si="13">+J$94*G100+E100</f>
        <v>0</v>
      </c>
      <c r="I100" s="614">
        <f t="shared" ref="I100:I154" si="14">+J$95*G100+E100</f>
        <v>0</v>
      </c>
      <c r="J100" s="478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2024</v>
      </c>
      <c r="D101" s="346">
        <f>IF(F100+SUM(E$99:E100)=D$92,F100,D$92-SUM(E$99:E100))</f>
        <v>0</v>
      </c>
      <c r="E101" s="484">
        <f t="shared" ref="E101:E154" si="17">IF(+J$96&lt;F100,J$96,D101)</f>
        <v>0</v>
      </c>
      <c r="F101" s="485">
        <f t="shared" ref="F101:F154" si="18">+D101-E101</f>
        <v>0</v>
      </c>
      <c r="G101" s="485">
        <f t="shared" ref="G101:G154" si="19">+(F101+D101)/2</f>
        <v>0</v>
      </c>
      <c r="H101" s="613">
        <f t="shared" si="13"/>
        <v>0</v>
      </c>
      <c r="I101" s="614">
        <f t="shared" si="14"/>
        <v>0</v>
      </c>
      <c r="J101" s="478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6"/>
        <v/>
      </c>
      <c r="C102" s="472">
        <f>IF(D93="","-",+C101+1)</f>
        <v>2025</v>
      </c>
      <c r="D102" s="346">
        <f>IF(F101+SUM(E$99:E101)=D$92,F101,D$92-SUM(E$99:E101))</f>
        <v>0</v>
      </c>
      <c r="E102" s="484">
        <f t="shared" si="17"/>
        <v>0</v>
      </c>
      <c r="F102" s="485">
        <f t="shared" si="18"/>
        <v>0</v>
      </c>
      <c r="G102" s="485">
        <f t="shared" si="19"/>
        <v>0</v>
      </c>
      <c r="H102" s="613">
        <f t="shared" si="13"/>
        <v>0</v>
      </c>
      <c r="I102" s="614">
        <f t="shared" si="14"/>
        <v>0</v>
      </c>
      <c r="J102" s="478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6"/>
        <v/>
      </c>
      <c r="C103" s="472">
        <f>IF(D93="","-",+C102+1)</f>
        <v>2026</v>
      </c>
      <c r="D103" s="346">
        <f>IF(F102+SUM(E$99:E102)=D$92,F102,D$92-SUM(E$99:E102))</f>
        <v>0</v>
      </c>
      <c r="E103" s="484">
        <f t="shared" si="17"/>
        <v>0</v>
      </c>
      <c r="F103" s="485">
        <f t="shared" si="18"/>
        <v>0</v>
      </c>
      <c r="G103" s="485">
        <f t="shared" si="19"/>
        <v>0</v>
      </c>
      <c r="H103" s="613">
        <f t="shared" si="13"/>
        <v>0</v>
      </c>
      <c r="I103" s="614">
        <f t="shared" si="14"/>
        <v>0</v>
      </c>
      <c r="J103" s="478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6"/>
        <v/>
      </c>
      <c r="C104" s="472">
        <f>IF(D93="","-",+C103+1)</f>
        <v>2027</v>
      </c>
      <c r="D104" s="346">
        <f>IF(F103+SUM(E$99:E103)=D$92,F103,D$92-SUM(E$99:E103))</f>
        <v>0</v>
      </c>
      <c r="E104" s="484">
        <f t="shared" si="17"/>
        <v>0</v>
      </c>
      <c r="F104" s="485">
        <f t="shared" si="18"/>
        <v>0</v>
      </c>
      <c r="G104" s="485">
        <f t="shared" si="19"/>
        <v>0</v>
      </c>
      <c r="H104" s="613">
        <f t="shared" si="13"/>
        <v>0</v>
      </c>
      <c r="I104" s="614">
        <f t="shared" si="14"/>
        <v>0</v>
      </c>
      <c r="J104" s="478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6"/>
        <v/>
      </c>
      <c r="C105" s="472">
        <f>IF(D93="","-",+C104+1)</f>
        <v>2028</v>
      </c>
      <c r="D105" s="346">
        <f>IF(F104+SUM(E$99:E104)=D$92,F104,D$92-SUM(E$99:E104))</f>
        <v>0</v>
      </c>
      <c r="E105" s="484">
        <f t="shared" si="17"/>
        <v>0</v>
      </c>
      <c r="F105" s="485">
        <f t="shared" si="18"/>
        <v>0</v>
      </c>
      <c r="G105" s="485">
        <f t="shared" si="19"/>
        <v>0</v>
      </c>
      <c r="H105" s="613">
        <f t="shared" si="13"/>
        <v>0</v>
      </c>
      <c r="I105" s="614">
        <f t="shared" si="14"/>
        <v>0</v>
      </c>
      <c r="J105" s="478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6"/>
        <v/>
      </c>
      <c r="C106" s="472">
        <f>IF(D93="","-",+C105+1)</f>
        <v>2029</v>
      </c>
      <c r="D106" s="346">
        <f>IF(F105+SUM(E$99:E105)=D$92,F105,D$92-SUM(E$99:E105))</f>
        <v>0</v>
      </c>
      <c r="E106" s="484">
        <f t="shared" si="17"/>
        <v>0</v>
      </c>
      <c r="F106" s="485">
        <f t="shared" si="18"/>
        <v>0</v>
      </c>
      <c r="G106" s="485">
        <f t="shared" si="19"/>
        <v>0</v>
      </c>
      <c r="H106" s="613">
        <f t="shared" si="13"/>
        <v>0</v>
      </c>
      <c r="I106" s="614">
        <f t="shared" si="14"/>
        <v>0</v>
      </c>
      <c r="J106" s="478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6"/>
        <v/>
      </c>
      <c r="C107" s="472">
        <f>IF(D93="","-",+C106+1)</f>
        <v>2030</v>
      </c>
      <c r="D107" s="346">
        <f>IF(F106+SUM(E$99:E106)=D$92,F106,D$92-SUM(E$99:E106))</f>
        <v>0</v>
      </c>
      <c r="E107" s="484">
        <f t="shared" si="17"/>
        <v>0</v>
      </c>
      <c r="F107" s="485">
        <f t="shared" si="18"/>
        <v>0</v>
      </c>
      <c r="G107" s="485">
        <f t="shared" si="19"/>
        <v>0</v>
      </c>
      <c r="H107" s="613">
        <f t="shared" si="13"/>
        <v>0</v>
      </c>
      <c r="I107" s="614">
        <f t="shared" si="14"/>
        <v>0</v>
      </c>
      <c r="J107" s="478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6"/>
        <v/>
      </c>
      <c r="C108" s="472">
        <f>IF(D93="","-",+C107+1)</f>
        <v>2031</v>
      </c>
      <c r="D108" s="346">
        <f>IF(F107+SUM(E$99:E107)=D$92,F107,D$92-SUM(E$99:E107))</f>
        <v>0</v>
      </c>
      <c r="E108" s="484">
        <f t="shared" si="17"/>
        <v>0</v>
      </c>
      <c r="F108" s="485">
        <f t="shared" si="18"/>
        <v>0</v>
      </c>
      <c r="G108" s="485">
        <f t="shared" si="19"/>
        <v>0</v>
      </c>
      <c r="H108" s="613">
        <f t="shared" si="13"/>
        <v>0</v>
      </c>
      <c r="I108" s="614">
        <f t="shared" si="14"/>
        <v>0</v>
      </c>
      <c r="J108" s="478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6"/>
        <v/>
      </c>
      <c r="C109" s="472">
        <f>IF(D93="","-",+C108+1)</f>
        <v>2032</v>
      </c>
      <c r="D109" s="346">
        <f>IF(F108+SUM(E$99:E108)=D$92,F108,D$92-SUM(E$99:E108))</f>
        <v>0</v>
      </c>
      <c r="E109" s="484">
        <f t="shared" si="17"/>
        <v>0</v>
      </c>
      <c r="F109" s="485">
        <f t="shared" si="18"/>
        <v>0</v>
      </c>
      <c r="G109" s="485">
        <f t="shared" si="19"/>
        <v>0</v>
      </c>
      <c r="H109" s="613">
        <f t="shared" si="13"/>
        <v>0</v>
      </c>
      <c r="I109" s="614">
        <f t="shared" si="14"/>
        <v>0</v>
      </c>
      <c r="J109" s="478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6"/>
        <v/>
      </c>
      <c r="C110" s="472">
        <f>IF(D93="","-",+C109+1)</f>
        <v>2033</v>
      </c>
      <c r="D110" s="346">
        <f>IF(F109+SUM(E$99:E109)=D$92,F109,D$92-SUM(E$99:E109))</f>
        <v>0</v>
      </c>
      <c r="E110" s="484">
        <f t="shared" si="17"/>
        <v>0</v>
      </c>
      <c r="F110" s="485">
        <f t="shared" si="18"/>
        <v>0</v>
      </c>
      <c r="G110" s="485">
        <f t="shared" si="19"/>
        <v>0</v>
      </c>
      <c r="H110" s="613">
        <f t="shared" si="13"/>
        <v>0</v>
      </c>
      <c r="I110" s="614">
        <f t="shared" si="14"/>
        <v>0</v>
      </c>
      <c r="J110" s="478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6"/>
        <v/>
      </c>
      <c r="C111" s="472">
        <f>IF(D93="","-",+C110+1)</f>
        <v>2034</v>
      </c>
      <c r="D111" s="346">
        <f>IF(F110+SUM(E$99:E110)=D$92,F110,D$92-SUM(E$99:E110))</f>
        <v>0</v>
      </c>
      <c r="E111" s="484">
        <f t="shared" si="17"/>
        <v>0</v>
      </c>
      <c r="F111" s="485">
        <f t="shared" si="18"/>
        <v>0</v>
      </c>
      <c r="G111" s="485">
        <f t="shared" si="19"/>
        <v>0</v>
      </c>
      <c r="H111" s="613">
        <f t="shared" si="13"/>
        <v>0</v>
      </c>
      <c r="I111" s="614">
        <f t="shared" si="14"/>
        <v>0</v>
      </c>
      <c r="J111" s="478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6"/>
        <v/>
      </c>
      <c r="C112" s="472">
        <f>IF(D93="","-",+C111+1)</f>
        <v>2035</v>
      </c>
      <c r="D112" s="346">
        <f>IF(F111+SUM(E$99:E111)=D$92,F111,D$92-SUM(E$99:E111))</f>
        <v>0</v>
      </c>
      <c r="E112" s="484">
        <f t="shared" si="17"/>
        <v>0</v>
      </c>
      <c r="F112" s="485">
        <f t="shared" si="18"/>
        <v>0</v>
      </c>
      <c r="G112" s="485">
        <f t="shared" si="19"/>
        <v>0</v>
      </c>
      <c r="H112" s="613">
        <f t="shared" si="13"/>
        <v>0</v>
      </c>
      <c r="I112" s="614">
        <f t="shared" si="14"/>
        <v>0</v>
      </c>
      <c r="J112" s="478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6"/>
        <v/>
      </c>
      <c r="C113" s="472">
        <f>IF(D93="","-",+C112+1)</f>
        <v>2036</v>
      </c>
      <c r="D113" s="346">
        <f>IF(F112+SUM(E$99:E112)=D$92,F112,D$92-SUM(E$99:E112))</f>
        <v>0</v>
      </c>
      <c r="E113" s="484">
        <f t="shared" si="17"/>
        <v>0</v>
      </c>
      <c r="F113" s="485">
        <f t="shared" si="18"/>
        <v>0</v>
      </c>
      <c r="G113" s="485">
        <f t="shared" si="19"/>
        <v>0</v>
      </c>
      <c r="H113" s="613">
        <f t="shared" si="13"/>
        <v>0</v>
      </c>
      <c r="I113" s="614">
        <f t="shared" si="14"/>
        <v>0</v>
      </c>
      <c r="J113" s="478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6"/>
        <v/>
      </c>
      <c r="C114" s="472">
        <f>IF(D93="","-",+C113+1)</f>
        <v>2037</v>
      </c>
      <c r="D114" s="346">
        <f>IF(F113+SUM(E$99:E113)=D$92,F113,D$92-SUM(E$99:E113))</f>
        <v>0</v>
      </c>
      <c r="E114" s="484">
        <f t="shared" si="17"/>
        <v>0</v>
      </c>
      <c r="F114" s="485">
        <f t="shared" si="18"/>
        <v>0</v>
      </c>
      <c r="G114" s="485">
        <f t="shared" si="19"/>
        <v>0</v>
      </c>
      <c r="H114" s="613">
        <f t="shared" si="13"/>
        <v>0</v>
      </c>
      <c r="I114" s="614">
        <f t="shared" si="14"/>
        <v>0</v>
      </c>
      <c r="J114" s="478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6"/>
        <v/>
      </c>
      <c r="C115" s="472">
        <f>IF(D93="","-",+C114+1)</f>
        <v>2038</v>
      </c>
      <c r="D115" s="346">
        <f>IF(F114+SUM(E$99:E114)=D$92,F114,D$92-SUM(E$99:E114))</f>
        <v>0</v>
      </c>
      <c r="E115" s="484">
        <f t="shared" si="17"/>
        <v>0</v>
      </c>
      <c r="F115" s="485">
        <f t="shared" si="18"/>
        <v>0</v>
      </c>
      <c r="G115" s="485">
        <f t="shared" si="19"/>
        <v>0</v>
      </c>
      <c r="H115" s="613">
        <f t="shared" si="13"/>
        <v>0</v>
      </c>
      <c r="I115" s="614">
        <f t="shared" si="14"/>
        <v>0</v>
      </c>
      <c r="J115" s="478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6"/>
        <v/>
      </c>
      <c r="C116" s="472">
        <f>IF(D93="","-",+C115+1)</f>
        <v>2039</v>
      </c>
      <c r="D116" s="346">
        <f>IF(F115+SUM(E$99:E115)=D$92,F115,D$92-SUM(E$99:E115))</f>
        <v>0</v>
      </c>
      <c r="E116" s="484">
        <f t="shared" si="17"/>
        <v>0</v>
      </c>
      <c r="F116" s="485">
        <f t="shared" si="18"/>
        <v>0</v>
      </c>
      <c r="G116" s="485">
        <f t="shared" si="19"/>
        <v>0</v>
      </c>
      <c r="H116" s="613">
        <f t="shared" si="13"/>
        <v>0</v>
      </c>
      <c r="I116" s="614">
        <f t="shared" si="14"/>
        <v>0</v>
      </c>
      <c r="J116" s="478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6"/>
        <v/>
      </c>
      <c r="C117" s="472">
        <f>IF(D93="","-",+C116+1)</f>
        <v>2040</v>
      </c>
      <c r="D117" s="346">
        <f>IF(F116+SUM(E$99:E116)=D$92,F116,D$92-SUM(E$99:E116))</f>
        <v>0</v>
      </c>
      <c r="E117" s="484">
        <f t="shared" si="17"/>
        <v>0</v>
      </c>
      <c r="F117" s="485">
        <f t="shared" si="18"/>
        <v>0</v>
      </c>
      <c r="G117" s="485">
        <f t="shared" si="19"/>
        <v>0</v>
      </c>
      <c r="H117" s="613">
        <f t="shared" si="13"/>
        <v>0</v>
      </c>
      <c r="I117" s="614">
        <f t="shared" si="14"/>
        <v>0</v>
      </c>
      <c r="J117" s="478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6"/>
        <v/>
      </c>
      <c r="C118" s="472">
        <f>IF(D93="","-",+C117+1)</f>
        <v>2041</v>
      </c>
      <c r="D118" s="346">
        <f>IF(F117+SUM(E$99:E117)=D$92,F117,D$92-SUM(E$99:E117))</f>
        <v>0</v>
      </c>
      <c r="E118" s="484">
        <f t="shared" si="17"/>
        <v>0</v>
      </c>
      <c r="F118" s="485">
        <f t="shared" si="18"/>
        <v>0</v>
      </c>
      <c r="G118" s="485">
        <f t="shared" si="19"/>
        <v>0</v>
      </c>
      <c r="H118" s="613">
        <f t="shared" si="13"/>
        <v>0</v>
      </c>
      <c r="I118" s="614">
        <f t="shared" si="14"/>
        <v>0</v>
      </c>
      <c r="J118" s="478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6"/>
        <v/>
      </c>
      <c r="C119" s="472">
        <f>IF(D93="","-",+C118+1)</f>
        <v>2042</v>
      </c>
      <c r="D119" s="346">
        <f>IF(F118+SUM(E$99:E118)=D$92,F118,D$92-SUM(E$99:E118))</f>
        <v>0</v>
      </c>
      <c r="E119" s="484">
        <f t="shared" si="17"/>
        <v>0</v>
      </c>
      <c r="F119" s="485">
        <f t="shared" si="18"/>
        <v>0</v>
      </c>
      <c r="G119" s="485">
        <f t="shared" si="19"/>
        <v>0</v>
      </c>
      <c r="H119" s="613">
        <f t="shared" si="13"/>
        <v>0</v>
      </c>
      <c r="I119" s="614">
        <f t="shared" si="14"/>
        <v>0</v>
      </c>
      <c r="J119" s="478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6"/>
        <v/>
      </c>
      <c r="C120" s="472">
        <f>IF(D93="","-",+C119+1)</f>
        <v>2043</v>
      </c>
      <c r="D120" s="346">
        <f>IF(F119+SUM(E$99:E119)=D$92,F119,D$92-SUM(E$99:E119))</f>
        <v>0</v>
      </c>
      <c r="E120" s="484">
        <f t="shared" si="17"/>
        <v>0</v>
      </c>
      <c r="F120" s="485">
        <f t="shared" si="18"/>
        <v>0</v>
      </c>
      <c r="G120" s="485">
        <f t="shared" si="19"/>
        <v>0</v>
      </c>
      <c r="H120" s="613">
        <f t="shared" si="13"/>
        <v>0</v>
      </c>
      <c r="I120" s="614">
        <f t="shared" si="14"/>
        <v>0</v>
      </c>
      <c r="J120" s="478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6"/>
        <v/>
      </c>
      <c r="C121" s="472">
        <f>IF(D93="","-",+C120+1)</f>
        <v>2044</v>
      </c>
      <c r="D121" s="346">
        <f>IF(F120+SUM(E$99:E120)=D$92,F120,D$92-SUM(E$99:E120))</f>
        <v>0</v>
      </c>
      <c r="E121" s="484">
        <f t="shared" si="17"/>
        <v>0</v>
      </c>
      <c r="F121" s="485">
        <f t="shared" si="18"/>
        <v>0</v>
      </c>
      <c r="G121" s="485">
        <f t="shared" si="19"/>
        <v>0</v>
      </c>
      <c r="H121" s="613">
        <f t="shared" si="13"/>
        <v>0</v>
      </c>
      <c r="I121" s="614">
        <f t="shared" si="14"/>
        <v>0</v>
      </c>
      <c r="J121" s="478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6"/>
        <v/>
      </c>
      <c r="C122" s="472">
        <f>IF(D93="","-",+C121+1)</f>
        <v>2045</v>
      </c>
      <c r="D122" s="346">
        <f>IF(F121+SUM(E$99:E121)=D$92,F121,D$92-SUM(E$99:E121))</f>
        <v>0</v>
      </c>
      <c r="E122" s="484">
        <f t="shared" si="17"/>
        <v>0</v>
      </c>
      <c r="F122" s="485">
        <f t="shared" si="18"/>
        <v>0</v>
      </c>
      <c r="G122" s="485">
        <f t="shared" si="19"/>
        <v>0</v>
      </c>
      <c r="H122" s="613">
        <f t="shared" si="13"/>
        <v>0</v>
      </c>
      <c r="I122" s="614">
        <f t="shared" si="14"/>
        <v>0</v>
      </c>
      <c r="J122" s="478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6"/>
        <v/>
      </c>
      <c r="C123" s="472">
        <f>IF(D93="","-",+C122+1)</f>
        <v>2046</v>
      </c>
      <c r="D123" s="346">
        <f>IF(F122+SUM(E$99:E122)=D$92,F122,D$92-SUM(E$99:E122))</f>
        <v>0</v>
      </c>
      <c r="E123" s="484">
        <f t="shared" si="17"/>
        <v>0</v>
      </c>
      <c r="F123" s="485">
        <f t="shared" si="18"/>
        <v>0</v>
      </c>
      <c r="G123" s="485">
        <f t="shared" si="19"/>
        <v>0</v>
      </c>
      <c r="H123" s="613">
        <f t="shared" si="13"/>
        <v>0</v>
      </c>
      <c r="I123" s="614">
        <f t="shared" si="14"/>
        <v>0</v>
      </c>
      <c r="J123" s="478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6"/>
        <v/>
      </c>
      <c r="C124" s="472">
        <f>IF(D93="","-",+C123+1)</f>
        <v>2047</v>
      </c>
      <c r="D124" s="346">
        <f>IF(F123+SUM(E$99:E123)=D$92,F123,D$92-SUM(E$99:E123))</f>
        <v>0</v>
      </c>
      <c r="E124" s="484">
        <f t="shared" si="17"/>
        <v>0</v>
      </c>
      <c r="F124" s="485">
        <f t="shared" si="18"/>
        <v>0</v>
      </c>
      <c r="G124" s="485">
        <f t="shared" si="19"/>
        <v>0</v>
      </c>
      <c r="H124" s="613">
        <f t="shared" si="13"/>
        <v>0</v>
      </c>
      <c r="I124" s="614">
        <f t="shared" si="14"/>
        <v>0</v>
      </c>
      <c r="J124" s="478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6"/>
        <v/>
      </c>
      <c r="C125" s="472">
        <f>IF(D93="","-",+C124+1)</f>
        <v>2048</v>
      </c>
      <c r="D125" s="346">
        <f>IF(F124+SUM(E$99:E124)=D$92,F124,D$92-SUM(E$99:E124))</f>
        <v>0</v>
      </c>
      <c r="E125" s="484">
        <f t="shared" si="17"/>
        <v>0</v>
      </c>
      <c r="F125" s="485">
        <f t="shared" si="18"/>
        <v>0</v>
      </c>
      <c r="G125" s="485">
        <f t="shared" si="19"/>
        <v>0</v>
      </c>
      <c r="H125" s="613">
        <f t="shared" si="13"/>
        <v>0</v>
      </c>
      <c r="I125" s="614">
        <f t="shared" si="14"/>
        <v>0</v>
      </c>
      <c r="J125" s="478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6"/>
        <v/>
      </c>
      <c r="C126" s="472">
        <f>IF(D93="","-",+C125+1)</f>
        <v>2049</v>
      </c>
      <c r="D126" s="346">
        <f>IF(F125+SUM(E$99:E125)=D$92,F125,D$92-SUM(E$99:E125))</f>
        <v>0</v>
      </c>
      <c r="E126" s="484">
        <f t="shared" si="17"/>
        <v>0</v>
      </c>
      <c r="F126" s="485">
        <f t="shared" si="18"/>
        <v>0</v>
      </c>
      <c r="G126" s="485">
        <f t="shared" si="19"/>
        <v>0</v>
      </c>
      <c r="H126" s="613">
        <f t="shared" si="13"/>
        <v>0</v>
      </c>
      <c r="I126" s="614">
        <f t="shared" si="14"/>
        <v>0</v>
      </c>
      <c r="J126" s="478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6"/>
        <v/>
      </c>
      <c r="C127" s="472">
        <f>IF(D93="","-",+C126+1)</f>
        <v>2050</v>
      </c>
      <c r="D127" s="346">
        <f>IF(F126+SUM(E$99:E126)=D$92,F126,D$92-SUM(E$99:E126))</f>
        <v>0</v>
      </c>
      <c r="E127" s="484">
        <f t="shared" si="17"/>
        <v>0</v>
      </c>
      <c r="F127" s="485">
        <f t="shared" si="18"/>
        <v>0</v>
      </c>
      <c r="G127" s="485">
        <f t="shared" si="19"/>
        <v>0</v>
      </c>
      <c r="H127" s="613">
        <f t="shared" si="13"/>
        <v>0</v>
      </c>
      <c r="I127" s="614">
        <f t="shared" si="14"/>
        <v>0</v>
      </c>
      <c r="J127" s="478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6"/>
        <v/>
      </c>
      <c r="C128" s="472">
        <f>IF(D93="","-",+C127+1)</f>
        <v>2051</v>
      </c>
      <c r="D128" s="346">
        <f>IF(F127+SUM(E$99:E127)=D$92,F127,D$92-SUM(E$99:E127))</f>
        <v>0</v>
      </c>
      <c r="E128" s="484">
        <f t="shared" si="17"/>
        <v>0</v>
      </c>
      <c r="F128" s="485">
        <f t="shared" si="18"/>
        <v>0</v>
      </c>
      <c r="G128" s="485">
        <f t="shared" si="19"/>
        <v>0</v>
      </c>
      <c r="H128" s="613">
        <f t="shared" si="13"/>
        <v>0</v>
      </c>
      <c r="I128" s="614">
        <f t="shared" si="14"/>
        <v>0</v>
      </c>
      <c r="J128" s="478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6"/>
        <v/>
      </c>
      <c r="C129" s="472">
        <f>IF(D93="","-",+C128+1)</f>
        <v>2052</v>
      </c>
      <c r="D129" s="346">
        <f>IF(F128+SUM(E$99:E128)=D$92,F128,D$92-SUM(E$99:E128))</f>
        <v>0</v>
      </c>
      <c r="E129" s="484">
        <f t="shared" si="17"/>
        <v>0</v>
      </c>
      <c r="F129" s="485">
        <f t="shared" si="18"/>
        <v>0</v>
      </c>
      <c r="G129" s="485">
        <f t="shared" si="19"/>
        <v>0</v>
      </c>
      <c r="H129" s="613">
        <f t="shared" si="13"/>
        <v>0</v>
      </c>
      <c r="I129" s="614">
        <f t="shared" si="14"/>
        <v>0</v>
      </c>
      <c r="J129" s="478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6"/>
        <v/>
      </c>
      <c r="C130" s="472">
        <f>IF(D93="","-",+C129+1)</f>
        <v>2053</v>
      </c>
      <c r="D130" s="346">
        <f>IF(F129+SUM(E$99:E129)=D$92,F129,D$92-SUM(E$99:E129))</f>
        <v>0</v>
      </c>
      <c r="E130" s="484">
        <f t="shared" si="17"/>
        <v>0</v>
      </c>
      <c r="F130" s="485">
        <f t="shared" si="18"/>
        <v>0</v>
      </c>
      <c r="G130" s="485">
        <f t="shared" si="19"/>
        <v>0</v>
      </c>
      <c r="H130" s="613">
        <f t="shared" si="13"/>
        <v>0</v>
      </c>
      <c r="I130" s="614">
        <f t="shared" si="14"/>
        <v>0</v>
      </c>
      <c r="J130" s="478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6"/>
        <v/>
      </c>
      <c r="C131" s="472">
        <f>IF(D93="","-",+C130+1)</f>
        <v>2054</v>
      </c>
      <c r="D131" s="346">
        <f>IF(F130+SUM(E$99:E130)=D$92,F130,D$92-SUM(E$99:E130))</f>
        <v>0</v>
      </c>
      <c r="E131" s="484">
        <f t="shared" si="17"/>
        <v>0</v>
      </c>
      <c r="F131" s="485">
        <f t="shared" si="18"/>
        <v>0</v>
      </c>
      <c r="G131" s="485">
        <f t="shared" si="19"/>
        <v>0</v>
      </c>
      <c r="H131" s="613">
        <f t="shared" si="13"/>
        <v>0</v>
      </c>
      <c r="I131" s="614">
        <f t="shared" si="14"/>
        <v>0</v>
      </c>
      <c r="J131" s="478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>
      <c r="B132" s="160" t="str">
        <f t="shared" si="16"/>
        <v/>
      </c>
      <c r="C132" s="472">
        <f>IF(D93="","-",+C131+1)</f>
        <v>2055</v>
      </c>
      <c r="D132" s="346">
        <f>IF(F131+SUM(E$99:E131)=D$92,F131,D$92-SUM(E$99:E131))</f>
        <v>0</v>
      </c>
      <c r="E132" s="484">
        <f t="shared" si="17"/>
        <v>0</v>
      </c>
      <c r="F132" s="485">
        <f t="shared" si="18"/>
        <v>0</v>
      </c>
      <c r="G132" s="485">
        <f t="shared" si="19"/>
        <v>0</v>
      </c>
      <c r="H132" s="613">
        <f t="shared" si="13"/>
        <v>0</v>
      </c>
      <c r="I132" s="614">
        <f t="shared" si="14"/>
        <v>0</v>
      </c>
      <c r="J132" s="478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>
      <c r="B133" s="160" t="str">
        <f t="shared" si="16"/>
        <v/>
      </c>
      <c r="C133" s="472">
        <f>IF(D93="","-",+C132+1)</f>
        <v>2056</v>
      </c>
      <c r="D133" s="346">
        <f>IF(F132+SUM(E$99:E132)=D$92,F132,D$92-SUM(E$99:E132))</f>
        <v>0</v>
      </c>
      <c r="E133" s="484">
        <f t="shared" si="17"/>
        <v>0</v>
      </c>
      <c r="F133" s="485">
        <f t="shared" si="18"/>
        <v>0</v>
      </c>
      <c r="G133" s="485">
        <f t="shared" si="19"/>
        <v>0</v>
      </c>
      <c r="H133" s="613">
        <f t="shared" si="13"/>
        <v>0</v>
      </c>
      <c r="I133" s="614">
        <f t="shared" si="14"/>
        <v>0</v>
      </c>
      <c r="J133" s="478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>
      <c r="B134" s="160" t="str">
        <f t="shared" si="16"/>
        <v/>
      </c>
      <c r="C134" s="472">
        <f>IF(D93="","-",+C133+1)</f>
        <v>2057</v>
      </c>
      <c r="D134" s="346">
        <f>IF(F133+SUM(E$99:E133)=D$92,F133,D$92-SUM(E$99:E133))</f>
        <v>0</v>
      </c>
      <c r="E134" s="484">
        <f t="shared" si="17"/>
        <v>0</v>
      </c>
      <c r="F134" s="485">
        <f t="shared" si="18"/>
        <v>0</v>
      </c>
      <c r="G134" s="485">
        <f t="shared" si="19"/>
        <v>0</v>
      </c>
      <c r="H134" s="613">
        <f t="shared" si="13"/>
        <v>0</v>
      </c>
      <c r="I134" s="614">
        <f t="shared" si="14"/>
        <v>0</v>
      </c>
      <c r="J134" s="478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>
      <c r="B135" s="160" t="str">
        <f t="shared" si="16"/>
        <v/>
      </c>
      <c r="C135" s="472">
        <f>IF(D93="","-",+C134+1)</f>
        <v>2058</v>
      </c>
      <c r="D135" s="346">
        <f>IF(F134+SUM(E$99:E134)=D$92,F134,D$92-SUM(E$99:E134))</f>
        <v>0</v>
      </c>
      <c r="E135" s="484">
        <f t="shared" si="17"/>
        <v>0</v>
      </c>
      <c r="F135" s="485">
        <f t="shared" si="18"/>
        <v>0</v>
      </c>
      <c r="G135" s="485">
        <f t="shared" si="19"/>
        <v>0</v>
      </c>
      <c r="H135" s="613">
        <f t="shared" si="13"/>
        <v>0</v>
      </c>
      <c r="I135" s="614">
        <f t="shared" si="14"/>
        <v>0</v>
      </c>
      <c r="J135" s="478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>
      <c r="B136" s="160" t="str">
        <f t="shared" si="16"/>
        <v/>
      </c>
      <c r="C136" s="472">
        <f>IF(D93="","-",+C135+1)</f>
        <v>2059</v>
      </c>
      <c r="D136" s="346">
        <f>IF(F135+SUM(E$99:E135)=D$92,F135,D$92-SUM(E$99:E135))</f>
        <v>0</v>
      </c>
      <c r="E136" s="484">
        <f t="shared" si="17"/>
        <v>0</v>
      </c>
      <c r="F136" s="485">
        <f t="shared" si="18"/>
        <v>0</v>
      </c>
      <c r="G136" s="485">
        <f t="shared" si="19"/>
        <v>0</v>
      </c>
      <c r="H136" s="613">
        <f t="shared" si="13"/>
        <v>0</v>
      </c>
      <c r="I136" s="614">
        <f t="shared" si="14"/>
        <v>0</v>
      </c>
      <c r="J136" s="478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>
      <c r="B137" s="160" t="str">
        <f t="shared" si="16"/>
        <v/>
      </c>
      <c r="C137" s="472">
        <f>IF(D93="","-",+C136+1)</f>
        <v>2060</v>
      </c>
      <c r="D137" s="346">
        <f>IF(F136+SUM(E$99:E136)=D$92,F136,D$92-SUM(E$99:E136))</f>
        <v>0</v>
      </c>
      <c r="E137" s="484">
        <f t="shared" si="17"/>
        <v>0</v>
      </c>
      <c r="F137" s="485">
        <f t="shared" si="18"/>
        <v>0</v>
      </c>
      <c r="G137" s="485">
        <f t="shared" si="19"/>
        <v>0</v>
      </c>
      <c r="H137" s="613">
        <f t="shared" si="13"/>
        <v>0</v>
      </c>
      <c r="I137" s="614">
        <f t="shared" si="14"/>
        <v>0</v>
      </c>
      <c r="J137" s="478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>
      <c r="B138" s="160" t="str">
        <f t="shared" si="16"/>
        <v/>
      </c>
      <c r="C138" s="472">
        <f>IF(D93="","-",+C137+1)</f>
        <v>2061</v>
      </c>
      <c r="D138" s="346">
        <f>IF(F137+SUM(E$99:E137)=D$92,F137,D$92-SUM(E$99:E137))</f>
        <v>0</v>
      </c>
      <c r="E138" s="484">
        <f t="shared" si="17"/>
        <v>0</v>
      </c>
      <c r="F138" s="485">
        <f t="shared" si="18"/>
        <v>0</v>
      </c>
      <c r="G138" s="485">
        <f t="shared" si="19"/>
        <v>0</v>
      </c>
      <c r="H138" s="613">
        <f t="shared" si="13"/>
        <v>0</v>
      </c>
      <c r="I138" s="614">
        <f t="shared" si="14"/>
        <v>0</v>
      </c>
      <c r="J138" s="478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>
      <c r="B139" s="160" t="str">
        <f t="shared" si="16"/>
        <v/>
      </c>
      <c r="C139" s="472">
        <f>IF(D93="","-",+C138+1)</f>
        <v>2062</v>
      </c>
      <c r="D139" s="346">
        <f>IF(F138+SUM(E$99:E138)=D$92,F138,D$92-SUM(E$99:E138))</f>
        <v>0</v>
      </c>
      <c r="E139" s="484">
        <f t="shared" si="17"/>
        <v>0</v>
      </c>
      <c r="F139" s="485">
        <f t="shared" si="18"/>
        <v>0</v>
      </c>
      <c r="G139" s="485">
        <f t="shared" si="19"/>
        <v>0</v>
      </c>
      <c r="H139" s="613">
        <f t="shared" si="13"/>
        <v>0</v>
      </c>
      <c r="I139" s="614">
        <f t="shared" si="14"/>
        <v>0</v>
      </c>
      <c r="J139" s="478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>
      <c r="B140" s="160" t="str">
        <f t="shared" si="16"/>
        <v/>
      </c>
      <c r="C140" s="472">
        <f>IF(D93="","-",+C139+1)</f>
        <v>2063</v>
      </c>
      <c r="D140" s="346">
        <f>IF(F139+SUM(E$99:E139)=D$92,F139,D$92-SUM(E$99:E139))</f>
        <v>0</v>
      </c>
      <c r="E140" s="484">
        <f t="shared" si="17"/>
        <v>0</v>
      </c>
      <c r="F140" s="485">
        <f t="shared" si="18"/>
        <v>0</v>
      </c>
      <c r="G140" s="485">
        <f t="shared" si="19"/>
        <v>0</v>
      </c>
      <c r="H140" s="613">
        <f t="shared" si="13"/>
        <v>0</v>
      </c>
      <c r="I140" s="614">
        <f t="shared" si="14"/>
        <v>0</v>
      </c>
      <c r="J140" s="478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>
      <c r="B141" s="160" t="str">
        <f t="shared" si="16"/>
        <v/>
      </c>
      <c r="C141" s="472">
        <f>IF(D93="","-",+C140+1)</f>
        <v>2064</v>
      </c>
      <c r="D141" s="346">
        <f>IF(F140+SUM(E$99:E140)=D$92,F140,D$92-SUM(E$99:E140))</f>
        <v>0</v>
      </c>
      <c r="E141" s="484">
        <f t="shared" si="17"/>
        <v>0</v>
      </c>
      <c r="F141" s="485">
        <f t="shared" si="18"/>
        <v>0</v>
      </c>
      <c r="G141" s="485">
        <f t="shared" si="19"/>
        <v>0</v>
      </c>
      <c r="H141" s="613">
        <f t="shared" si="13"/>
        <v>0</v>
      </c>
      <c r="I141" s="614">
        <f t="shared" si="14"/>
        <v>0</v>
      </c>
      <c r="J141" s="478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>
      <c r="B142" s="160" t="str">
        <f t="shared" si="16"/>
        <v/>
      </c>
      <c r="C142" s="472">
        <f>IF(D93="","-",+C141+1)</f>
        <v>2065</v>
      </c>
      <c r="D142" s="346">
        <f>IF(F141+SUM(E$99:E141)=D$92,F141,D$92-SUM(E$99:E141))</f>
        <v>0</v>
      </c>
      <c r="E142" s="484">
        <f t="shared" si="17"/>
        <v>0</v>
      </c>
      <c r="F142" s="485">
        <f t="shared" si="18"/>
        <v>0</v>
      </c>
      <c r="G142" s="485">
        <f t="shared" si="19"/>
        <v>0</v>
      </c>
      <c r="H142" s="613">
        <f t="shared" si="13"/>
        <v>0</v>
      </c>
      <c r="I142" s="614">
        <f t="shared" si="14"/>
        <v>0</v>
      </c>
      <c r="J142" s="478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>
      <c r="B143" s="160" t="str">
        <f t="shared" si="16"/>
        <v/>
      </c>
      <c r="C143" s="472">
        <f>IF(D93="","-",+C142+1)</f>
        <v>2066</v>
      </c>
      <c r="D143" s="346">
        <f>IF(F142+SUM(E$99:E142)=D$92,F142,D$92-SUM(E$99:E142))</f>
        <v>0</v>
      </c>
      <c r="E143" s="484">
        <f t="shared" si="17"/>
        <v>0</v>
      </c>
      <c r="F143" s="485">
        <f t="shared" si="18"/>
        <v>0</v>
      </c>
      <c r="G143" s="485">
        <f t="shared" si="19"/>
        <v>0</v>
      </c>
      <c r="H143" s="613">
        <f t="shared" si="13"/>
        <v>0</v>
      </c>
      <c r="I143" s="614">
        <f t="shared" si="14"/>
        <v>0</v>
      </c>
      <c r="J143" s="478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>
      <c r="B144" s="160" t="str">
        <f t="shared" si="16"/>
        <v/>
      </c>
      <c r="C144" s="472">
        <f>IF(D93="","-",+C143+1)</f>
        <v>2067</v>
      </c>
      <c r="D144" s="346">
        <f>IF(F143+SUM(E$99:E143)=D$92,F143,D$92-SUM(E$99:E143))</f>
        <v>0</v>
      </c>
      <c r="E144" s="484">
        <f t="shared" si="17"/>
        <v>0</v>
      </c>
      <c r="F144" s="485">
        <f t="shared" si="18"/>
        <v>0</v>
      </c>
      <c r="G144" s="485">
        <f t="shared" si="19"/>
        <v>0</v>
      </c>
      <c r="H144" s="613">
        <f t="shared" si="13"/>
        <v>0</v>
      </c>
      <c r="I144" s="614">
        <f t="shared" si="14"/>
        <v>0</v>
      </c>
      <c r="J144" s="478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>
      <c r="B145" s="160" t="str">
        <f t="shared" si="16"/>
        <v/>
      </c>
      <c r="C145" s="472">
        <f>IF(D93="","-",+C144+1)</f>
        <v>2068</v>
      </c>
      <c r="D145" s="346">
        <f>IF(F144+SUM(E$99:E144)=D$92,F144,D$92-SUM(E$99:E144))</f>
        <v>0</v>
      </c>
      <c r="E145" s="484">
        <f t="shared" si="17"/>
        <v>0</v>
      </c>
      <c r="F145" s="485">
        <f t="shared" si="18"/>
        <v>0</v>
      </c>
      <c r="G145" s="485">
        <f t="shared" si="19"/>
        <v>0</v>
      </c>
      <c r="H145" s="613">
        <f t="shared" si="13"/>
        <v>0</v>
      </c>
      <c r="I145" s="614">
        <f t="shared" si="14"/>
        <v>0</v>
      </c>
      <c r="J145" s="478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>
      <c r="B146" s="160" t="str">
        <f t="shared" si="16"/>
        <v/>
      </c>
      <c r="C146" s="472">
        <f>IF(D93="","-",+C145+1)</f>
        <v>2069</v>
      </c>
      <c r="D146" s="346">
        <f>IF(F145+SUM(E$99:E145)=D$92,F145,D$92-SUM(E$99:E145))</f>
        <v>0</v>
      </c>
      <c r="E146" s="484">
        <f t="shared" si="17"/>
        <v>0</v>
      </c>
      <c r="F146" s="485">
        <f t="shared" si="18"/>
        <v>0</v>
      </c>
      <c r="G146" s="485">
        <f t="shared" si="19"/>
        <v>0</v>
      </c>
      <c r="H146" s="613">
        <f t="shared" si="13"/>
        <v>0</v>
      </c>
      <c r="I146" s="614">
        <f t="shared" si="14"/>
        <v>0</v>
      </c>
      <c r="J146" s="478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>
      <c r="B147" s="160" t="str">
        <f t="shared" si="16"/>
        <v/>
      </c>
      <c r="C147" s="472">
        <f>IF(D93="","-",+C146+1)</f>
        <v>2070</v>
      </c>
      <c r="D147" s="346">
        <f>IF(F146+SUM(E$99:E146)=D$92,F146,D$92-SUM(E$99:E146))</f>
        <v>0</v>
      </c>
      <c r="E147" s="484">
        <f t="shared" si="17"/>
        <v>0</v>
      </c>
      <c r="F147" s="485">
        <f t="shared" si="18"/>
        <v>0</v>
      </c>
      <c r="G147" s="485">
        <f t="shared" si="19"/>
        <v>0</v>
      </c>
      <c r="H147" s="613">
        <f t="shared" si="13"/>
        <v>0</v>
      </c>
      <c r="I147" s="614">
        <f t="shared" si="14"/>
        <v>0</v>
      </c>
      <c r="J147" s="478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>
      <c r="B148" s="160" t="str">
        <f t="shared" si="16"/>
        <v/>
      </c>
      <c r="C148" s="472">
        <f>IF(D93="","-",+C147+1)</f>
        <v>2071</v>
      </c>
      <c r="D148" s="346">
        <f>IF(F147+SUM(E$99:E147)=D$92,F147,D$92-SUM(E$99:E147))</f>
        <v>0</v>
      </c>
      <c r="E148" s="484">
        <f t="shared" si="17"/>
        <v>0</v>
      </c>
      <c r="F148" s="485">
        <f t="shared" si="18"/>
        <v>0</v>
      </c>
      <c r="G148" s="485">
        <f t="shared" si="19"/>
        <v>0</v>
      </c>
      <c r="H148" s="613">
        <f t="shared" si="13"/>
        <v>0</v>
      </c>
      <c r="I148" s="614">
        <f t="shared" si="14"/>
        <v>0</v>
      </c>
      <c r="J148" s="478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>
      <c r="B149" s="160" t="str">
        <f t="shared" si="16"/>
        <v/>
      </c>
      <c r="C149" s="472">
        <f>IF(D93="","-",+C148+1)</f>
        <v>2072</v>
      </c>
      <c r="D149" s="346">
        <f>IF(F148+SUM(E$99:E148)=D$92,F148,D$92-SUM(E$99:E148))</f>
        <v>0</v>
      </c>
      <c r="E149" s="484">
        <f t="shared" si="17"/>
        <v>0</v>
      </c>
      <c r="F149" s="485">
        <f t="shared" si="18"/>
        <v>0</v>
      </c>
      <c r="G149" s="485">
        <f t="shared" si="19"/>
        <v>0</v>
      </c>
      <c r="H149" s="613">
        <f t="shared" si="13"/>
        <v>0</v>
      </c>
      <c r="I149" s="614">
        <f t="shared" si="14"/>
        <v>0</v>
      </c>
      <c r="J149" s="478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>
      <c r="B150" s="160" t="str">
        <f t="shared" si="16"/>
        <v/>
      </c>
      <c r="C150" s="472">
        <f>IF(D93="","-",+C149+1)</f>
        <v>2073</v>
      </c>
      <c r="D150" s="346">
        <f>IF(F149+SUM(E$99:E149)=D$92,F149,D$92-SUM(E$99:E149))</f>
        <v>0</v>
      </c>
      <c r="E150" s="484">
        <f t="shared" si="17"/>
        <v>0</v>
      </c>
      <c r="F150" s="485">
        <f t="shared" si="18"/>
        <v>0</v>
      </c>
      <c r="G150" s="485">
        <f t="shared" si="19"/>
        <v>0</v>
      </c>
      <c r="H150" s="613">
        <f t="shared" si="13"/>
        <v>0</v>
      </c>
      <c r="I150" s="614">
        <f t="shared" si="14"/>
        <v>0</v>
      </c>
      <c r="J150" s="478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>
      <c r="B151" s="160" t="str">
        <f t="shared" si="16"/>
        <v/>
      </c>
      <c r="C151" s="472">
        <f>IF(D93="","-",+C150+1)</f>
        <v>2074</v>
      </c>
      <c r="D151" s="346">
        <f>IF(F150+SUM(E$99:E150)=D$92,F150,D$92-SUM(E$99:E150))</f>
        <v>0</v>
      </c>
      <c r="E151" s="484">
        <f t="shared" si="17"/>
        <v>0</v>
      </c>
      <c r="F151" s="485">
        <f t="shared" si="18"/>
        <v>0</v>
      </c>
      <c r="G151" s="485">
        <f t="shared" si="19"/>
        <v>0</v>
      </c>
      <c r="H151" s="613">
        <f t="shared" si="13"/>
        <v>0</v>
      </c>
      <c r="I151" s="614">
        <f t="shared" si="14"/>
        <v>0</v>
      </c>
      <c r="J151" s="478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>
      <c r="B152" s="160" t="str">
        <f t="shared" si="16"/>
        <v/>
      </c>
      <c r="C152" s="472">
        <f>IF(D93="","-",+C151+1)</f>
        <v>2075</v>
      </c>
      <c r="D152" s="346">
        <f>IF(F151+SUM(E$99:E151)=D$92,F151,D$92-SUM(E$99:E151))</f>
        <v>0</v>
      </c>
      <c r="E152" s="484">
        <f t="shared" si="17"/>
        <v>0</v>
      </c>
      <c r="F152" s="485">
        <f t="shared" si="18"/>
        <v>0</v>
      </c>
      <c r="G152" s="485">
        <f t="shared" si="19"/>
        <v>0</v>
      </c>
      <c r="H152" s="613">
        <f t="shared" si="13"/>
        <v>0</v>
      </c>
      <c r="I152" s="614">
        <f t="shared" si="14"/>
        <v>0</v>
      </c>
      <c r="J152" s="478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>
      <c r="B153" s="160" t="str">
        <f t="shared" si="16"/>
        <v/>
      </c>
      <c r="C153" s="472">
        <f>IF(D93="","-",+C152+1)</f>
        <v>2076</v>
      </c>
      <c r="D153" s="346">
        <f>IF(F152+SUM(E$99:E152)=D$92,F152,D$92-SUM(E$99:E152))</f>
        <v>0</v>
      </c>
      <c r="E153" s="484">
        <f t="shared" si="17"/>
        <v>0</v>
      </c>
      <c r="F153" s="485">
        <f t="shared" si="18"/>
        <v>0</v>
      </c>
      <c r="G153" s="485">
        <f t="shared" si="19"/>
        <v>0</v>
      </c>
      <c r="H153" s="613">
        <f t="shared" si="13"/>
        <v>0</v>
      </c>
      <c r="I153" s="614">
        <f t="shared" si="14"/>
        <v>0</v>
      </c>
      <c r="J153" s="478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.5" thickBot="1">
      <c r="B154" s="160" t="str">
        <f t="shared" si="16"/>
        <v/>
      </c>
      <c r="C154" s="489">
        <f>IF(D93="","-",+C153+1)</f>
        <v>2077</v>
      </c>
      <c r="D154" s="543">
        <f>IF(F153+SUM(E$99:E153)=D$92,F153,D$92-SUM(E$99:E153))</f>
        <v>0</v>
      </c>
      <c r="E154" s="491">
        <f t="shared" si="17"/>
        <v>0</v>
      </c>
      <c r="F154" s="490">
        <f t="shared" si="18"/>
        <v>0</v>
      </c>
      <c r="G154" s="490">
        <f t="shared" si="19"/>
        <v>0</v>
      </c>
      <c r="H154" s="615">
        <f t="shared" si="13"/>
        <v>0</v>
      </c>
      <c r="I154" s="616">
        <f t="shared" si="14"/>
        <v>0</v>
      </c>
      <c r="J154" s="495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>
      <c r="C155" s="346" t="s">
        <v>77</v>
      </c>
      <c r="D155" s="347"/>
      <c r="E155" s="347">
        <f>SUM(E99:E154)</f>
        <v>0</v>
      </c>
      <c r="F155" s="347"/>
      <c r="G155" s="347"/>
      <c r="H155" s="347">
        <f>SUM(H99:H154)</f>
        <v>145816.89418304947</v>
      </c>
      <c r="I155" s="347">
        <f>SUM(I99:I154)</f>
        <v>145816.89418304947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7" priority="1" stopIfTrue="1" operator="equal">
      <formula>$I$10</formula>
    </cfRule>
  </conditionalFormatting>
  <conditionalFormatting sqref="C99:C154">
    <cfRule type="cellIs" dxfId="6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/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30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90185.047613691771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90185.047613691771</v>
      </c>
      <c r="O6" s="232"/>
      <c r="P6" s="232"/>
    </row>
    <row r="7" spans="1:16" ht="13.5" thickBot="1">
      <c r="C7" s="431" t="s">
        <v>46</v>
      </c>
      <c r="D7" s="622" t="s">
        <v>371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372</v>
      </c>
      <c r="E9" s="623" t="s">
        <v>373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1616718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2022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11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38493.285714285717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2022</v>
      </c>
      <c r="D17" s="63">
        <v>0</v>
      </c>
      <c r="E17" s="64">
        <f>IF(D10&gt;=100000,I$14/12*(12-D12),0)</f>
        <v>3207.7738095238096</v>
      </c>
      <c r="F17" s="68">
        <f>IF(D11=C17,+D10-E17,+D17-E17)</f>
        <v>1613510.2261904762</v>
      </c>
      <c r="G17" s="64">
        <f>(D17+F17)/2*I$12+E17</f>
        <v>90185.047613691771</v>
      </c>
      <c r="H17" s="52">
        <f>+(D17+F17)/2*I$13+E17</f>
        <v>90185.047613691771</v>
      </c>
      <c r="I17" s="65">
        <f>H17-G17</f>
        <v>0</v>
      </c>
      <c r="J17" s="475"/>
      <c r="K17" s="554">
        <f>+G17</f>
        <v>90185.047613691771</v>
      </c>
      <c r="L17" s="477">
        <f t="shared" ref="L17:L72" si="0">IF(K17&lt;&gt;0,+G17-K17,0)</f>
        <v>0</v>
      </c>
      <c r="M17" s="554">
        <f>+H17</f>
        <v>90185.047613691771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2023</v>
      </c>
      <c r="D18" s="71">
        <f>IF(F17+SUM(E$17:E17)=D$10,F17,D$10-SUM(E$17:E17))</f>
        <v>1613510.2261904762</v>
      </c>
      <c r="E18" s="69">
        <f>IF(+I$14&lt;F17,I$14,D18)</f>
        <v>38493.285714285717</v>
      </c>
      <c r="F18" s="68">
        <f>+D18-E18</f>
        <v>1575016.9404761905</v>
      </c>
      <c r="G18" s="70">
        <f>(D18+F18)/2*I$12+E18</f>
        <v>210372.82877858583</v>
      </c>
      <c r="H18" s="52">
        <f>+(D18+F18)/2*I$13+E18</f>
        <v>210372.82877858583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si="1"/>
        <v>0</v>
      </c>
      <c r="O18" s="478">
        <f t="shared" si="2"/>
        <v>0</v>
      </c>
      <c r="P18" s="242"/>
    </row>
    <row r="19" spans="2:16">
      <c r="B19" s="160" t="str">
        <f>IF(D19=F18,"","IU")</f>
        <v/>
      </c>
      <c r="C19" s="472">
        <f>IF(D11="","-",+C18+1)</f>
        <v>2024</v>
      </c>
      <c r="D19" s="71">
        <f>IF(F18+SUM(E$17:E18)=D$10,F18,D$10-SUM(E$17:E18))</f>
        <v>1575016.9404761905</v>
      </c>
      <c r="E19" s="69">
        <f t="shared" ref="E19:E71" si="4">IF(+I$14&lt;F18,I$14,D19)</f>
        <v>38493.285714285717</v>
      </c>
      <c r="F19" s="68">
        <f t="shared" ref="F19:F71" si="5">+D19-E19</f>
        <v>1536523.6547619049</v>
      </c>
      <c r="G19" s="70">
        <f t="shared" ref="G19:G71" si="6">(D19+F19)/2*I$12+E19</f>
        <v>206222.81969051418</v>
      </c>
      <c r="H19" s="52">
        <f t="shared" ref="H19:H71" si="7">+(D19+F19)/2*I$13+E19</f>
        <v>206222.81969051418</v>
      </c>
      <c r="I19" s="65">
        <f t="shared" ref="I19:I71" si="8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9">IF(D20=F19,"","IU")</f>
        <v/>
      </c>
      <c r="C20" s="472">
        <f>IF(D11="","-",+C19+1)</f>
        <v>2025</v>
      </c>
      <c r="D20" s="71">
        <f>IF(F19+SUM(E$17:E19)=D$10,F19,D$10-SUM(E$17:E19))</f>
        <v>1536523.6547619049</v>
      </c>
      <c r="E20" s="69">
        <f t="shared" si="4"/>
        <v>38493.285714285717</v>
      </c>
      <c r="F20" s="68">
        <f t="shared" si="5"/>
        <v>1498030.3690476192</v>
      </c>
      <c r="G20" s="70">
        <f t="shared" si="6"/>
        <v>202072.81060244257</v>
      </c>
      <c r="H20" s="52">
        <f t="shared" si="7"/>
        <v>202072.81060244257</v>
      </c>
      <c r="I20" s="65">
        <f t="shared" si="8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9"/>
        <v/>
      </c>
      <c r="C21" s="472">
        <f>IF(D11="","-",+C20+1)</f>
        <v>2026</v>
      </c>
      <c r="D21" s="71">
        <f>IF(F20+SUM(E$17:E20)=D$10,F20,D$10-SUM(E$17:E20))</f>
        <v>1498030.3690476192</v>
      </c>
      <c r="E21" s="69">
        <f t="shared" si="4"/>
        <v>38493.285714285717</v>
      </c>
      <c r="F21" s="68">
        <f t="shared" si="5"/>
        <v>1459537.0833333335</v>
      </c>
      <c r="G21" s="70">
        <f t="shared" si="6"/>
        <v>197922.80151437092</v>
      </c>
      <c r="H21" s="52">
        <f t="shared" si="7"/>
        <v>197922.80151437092</v>
      </c>
      <c r="I21" s="65">
        <f t="shared" si="8"/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9"/>
        <v/>
      </c>
      <c r="C22" s="472">
        <f>IF(D11="","-",+C21+1)</f>
        <v>2027</v>
      </c>
      <c r="D22" s="71">
        <f>IF(F21+SUM(E$17:E21)=D$10,F21,D$10-SUM(E$17:E21))</f>
        <v>1459537.0833333335</v>
      </c>
      <c r="E22" s="69">
        <f t="shared" si="4"/>
        <v>38493.285714285717</v>
      </c>
      <c r="F22" s="68">
        <f t="shared" si="5"/>
        <v>1421043.7976190478</v>
      </c>
      <c r="G22" s="70">
        <f t="shared" si="6"/>
        <v>193772.7924262993</v>
      </c>
      <c r="H22" s="52">
        <f t="shared" si="7"/>
        <v>193772.7924262993</v>
      </c>
      <c r="I22" s="65">
        <f t="shared" si="8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9"/>
        <v/>
      </c>
      <c r="C23" s="472">
        <f>IF(D11="","-",+C22+1)</f>
        <v>2028</v>
      </c>
      <c r="D23" s="71">
        <f>IF(F22+SUM(E$17:E22)=D$10,F22,D$10-SUM(E$17:E22))</f>
        <v>1421043.7976190478</v>
      </c>
      <c r="E23" s="69">
        <f t="shared" si="4"/>
        <v>38493.285714285717</v>
      </c>
      <c r="F23" s="68">
        <f t="shared" si="5"/>
        <v>1382550.5119047621</v>
      </c>
      <c r="G23" s="70">
        <f t="shared" si="6"/>
        <v>189622.78333822766</v>
      </c>
      <c r="H23" s="52">
        <f t="shared" si="7"/>
        <v>189622.78333822766</v>
      </c>
      <c r="I23" s="65">
        <f t="shared" si="8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9"/>
        <v/>
      </c>
      <c r="C24" s="472">
        <f>IF(D11="","-",+C23+1)</f>
        <v>2029</v>
      </c>
      <c r="D24" s="71">
        <f>IF(F23+SUM(E$17:E23)=D$10,F23,D$10-SUM(E$17:E23))</f>
        <v>1382550.5119047621</v>
      </c>
      <c r="E24" s="69">
        <f t="shared" si="4"/>
        <v>38493.285714285717</v>
      </c>
      <c r="F24" s="68">
        <f t="shared" si="5"/>
        <v>1344057.2261904764</v>
      </c>
      <c r="G24" s="70">
        <f t="shared" si="6"/>
        <v>185472.77425015604</v>
      </c>
      <c r="H24" s="52">
        <f t="shared" si="7"/>
        <v>185472.77425015604</v>
      </c>
      <c r="I24" s="65">
        <f t="shared" si="8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9"/>
        <v/>
      </c>
      <c r="C25" s="472">
        <f>IF(D11="","-",+C24+1)</f>
        <v>2030</v>
      </c>
      <c r="D25" s="71">
        <f>IF(F24+SUM(E$17:E24)=D$10,F24,D$10-SUM(E$17:E24))</f>
        <v>1344057.2261904764</v>
      </c>
      <c r="E25" s="69">
        <f t="shared" si="4"/>
        <v>38493.285714285717</v>
      </c>
      <c r="F25" s="68">
        <f t="shared" si="5"/>
        <v>1305563.9404761908</v>
      </c>
      <c r="G25" s="70">
        <f t="shared" si="6"/>
        <v>181322.7651620844</v>
      </c>
      <c r="H25" s="52">
        <f t="shared" si="7"/>
        <v>181322.7651620844</v>
      </c>
      <c r="I25" s="65">
        <f t="shared" si="8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9"/>
        <v/>
      </c>
      <c r="C26" s="472">
        <f>IF(D11="","-",+C25+1)</f>
        <v>2031</v>
      </c>
      <c r="D26" s="71">
        <f>IF(F25+SUM(E$17:E25)=D$10,F25,D$10-SUM(E$17:E25))</f>
        <v>1305563.9404761908</v>
      </c>
      <c r="E26" s="69">
        <f t="shared" si="4"/>
        <v>38493.285714285717</v>
      </c>
      <c r="F26" s="68">
        <f t="shared" si="5"/>
        <v>1267070.6547619051</v>
      </c>
      <c r="G26" s="70">
        <f t="shared" si="6"/>
        <v>177172.75607401281</v>
      </c>
      <c r="H26" s="52">
        <f t="shared" si="7"/>
        <v>177172.75607401281</v>
      </c>
      <c r="I26" s="65">
        <f t="shared" si="8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9"/>
        <v/>
      </c>
      <c r="C27" s="472">
        <f>IF(D11="","-",+C26+1)</f>
        <v>2032</v>
      </c>
      <c r="D27" s="71">
        <f>IF(F26+SUM(E$17:E26)=D$10,F26,D$10-SUM(E$17:E26))</f>
        <v>1267070.6547619051</v>
      </c>
      <c r="E27" s="69">
        <f t="shared" si="4"/>
        <v>38493.285714285717</v>
      </c>
      <c r="F27" s="68">
        <f t="shared" si="5"/>
        <v>1228577.3690476194</v>
      </c>
      <c r="G27" s="70">
        <f t="shared" si="6"/>
        <v>173022.74698594114</v>
      </c>
      <c r="H27" s="52">
        <f t="shared" si="7"/>
        <v>173022.74698594114</v>
      </c>
      <c r="I27" s="65">
        <f t="shared" si="8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9"/>
        <v/>
      </c>
      <c r="C28" s="472">
        <f>IF(D11="","-",+C27+1)</f>
        <v>2033</v>
      </c>
      <c r="D28" s="71">
        <f>IF(F27+SUM(E$17:E27)=D$10,F27,D$10-SUM(E$17:E27))</f>
        <v>1228577.3690476194</v>
      </c>
      <c r="E28" s="69">
        <f t="shared" si="4"/>
        <v>38493.285714285717</v>
      </c>
      <c r="F28" s="68">
        <f t="shared" si="5"/>
        <v>1190084.0833333337</v>
      </c>
      <c r="G28" s="70">
        <f t="shared" si="6"/>
        <v>168872.73789786955</v>
      </c>
      <c r="H28" s="52">
        <f t="shared" si="7"/>
        <v>168872.73789786955</v>
      </c>
      <c r="I28" s="65">
        <f t="shared" si="8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9"/>
        <v/>
      </c>
      <c r="C29" s="472">
        <f>IF(D11="","-",+C28+1)</f>
        <v>2034</v>
      </c>
      <c r="D29" s="71">
        <f>IF(F28+SUM(E$17:E28)=D$10,F28,D$10-SUM(E$17:E28))</f>
        <v>1190084.0833333337</v>
      </c>
      <c r="E29" s="69">
        <f t="shared" si="4"/>
        <v>38493.285714285717</v>
      </c>
      <c r="F29" s="68">
        <f t="shared" si="5"/>
        <v>1151590.797619048</v>
      </c>
      <c r="G29" s="70">
        <f t="shared" si="6"/>
        <v>164722.7288097979</v>
      </c>
      <c r="H29" s="52">
        <f t="shared" si="7"/>
        <v>164722.7288097979</v>
      </c>
      <c r="I29" s="65">
        <f t="shared" si="8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9"/>
        <v/>
      </c>
      <c r="C30" s="472">
        <f>IF(D11="","-",+C29+1)</f>
        <v>2035</v>
      </c>
      <c r="D30" s="71">
        <f>IF(F29+SUM(E$17:E29)=D$10,F29,D$10-SUM(E$17:E29))</f>
        <v>1151590.797619048</v>
      </c>
      <c r="E30" s="69">
        <f t="shared" si="4"/>
        <v>38493.285714285717</v>
      </c>
      <c r="F30" s="68">
        <f t="shared" si="5"/>
        <v>1113097.5119047624</v>
      </c>
      <c r="G30" s="70">
        <f t="shared" si="6"/>
        <v>160572.71972172629</v>
      </c>
      <c r="H30" s="52">
        <f t="shared" si="7"/>
        <v>160572.71972172629</v>
      </c>
      <c r="I30" s="65">
        <f t="shared" si="8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9"/>
        <v/>
      </c>
      <c r="C31" s="472">
        <f>IF(D11="","-",+C30+1)</f>
        <v>2036</v>
      </c>
      <c r="D31" s="71">
        <f>IF(F30+SUM(E$17:E30)=D$10,F30,D$10-SUM(E$17:E30))</f>
        <v>1113097.5119047624</v>
      </c>
      <c r="E31" s="69">
        <f t="shared" si="4"/>
        <v>38493.285714285717</v>
      </c>
      <c r="F31" s="68">
        <f t="shared" si="5"/>
        <v>1074604.2261904767</v>
      </c>
      <c r="G31" s="70">
        <f t="shared" si="6"/>
        <v>156422.71063365464</v>
      </c>
      <c r="H31" s="52">
        <f t="shared" si="7"/>
        <v>156422.71063365464</v>
      </c>
      <c r="I31" s="65">
        <f t="shared" si="8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9"/>
        <v/>
      </c>
      <c r="C32" s="472">
        <f>IF(D11="","-",+C31+1)</f>
        <v>2037</v>
      </c>
      <c r="D32" s="71">
        <f>IF(F31+SUM(E$17:E31)=D$10,F31,D$10-SUM(E$17:E31))</f>
        <v>1074604.2261904767</v>
      </c>
      <c r="E32" s="69">
        <f t="shared" si="4"/>
        <v>38493.285714285717</v>
      </c>
      <c r="F32" s="68">
        <f t="shared" si="5"/>
        <v>1036110.940476191</v>
      </c>
      <c r="G32" s="70">
        <f t="shared" si="6"/>
        <v>152272.70154558303</v>
      </c>
      <c r="H32" s="52">
        <f t="shared" si="7"/>
        <v>152272.70154558303</v>
      </c>
      <c r="I32" s="65">
        <f t="shared" si="8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9"/>
        <v/>
      </c>
      <c r="C33" s="472">
        <f>IF(D11="","-",+C32+1)</f>
        <v>2038</v>
      </c>
      <c r="D33" s="71">
        <f>IF(F32+SUM(E$17:E32)=D$10,F32,D$10-SUM(E$17:E32))</f>
        <v>1036110.940476191</v>
      </c>
      <c r="E33" s="69">
        <f t="shared" si="4"/>
        <v>38493.285714285717</v>
      </c>
      <c r="F33" s="68">
        <f t="shared" si="5"/>
        <v>997617.65476190532</v>
      </c>
      <c r="G33" s="70">
        <f t="shared" si="6"/>
        <v>148122.69245751138</v>
      </c>
      <c r="H33" s="52">
        <f t="shared" si="7"/>
        <v>148122.69245751138</v>
      </c>
      <c r="I33" s="65">
        <f t="shared" si="8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9"/>
        <v/>
      </c>
      <c r="C34" s="472">
        <f>IF(D11="","-",+C33+1)</f>
        <v>2039</v>
      </c>
      <c r="D34" s="71">
        <f>IF(F33+SUM(E$17:E33)=D$10,F33,D$10-SUM(E$17:E33))</f>
        <v>997617.65476190532</v>
      </c>
      <c r="E34" s="69">
        <f t="shared" si="4"/>
        <v>38493.285714285717</v>
      </c>
      <c r="F34" s="68">
        <f t="shared" si="5"/>
        <v>959124.36904761964</v>
      </c>
      <c r="G34" s="70">
        <f t="shared" si="6"/>
        <v>143972.68336943976</v>
      </c>
      <c r="H34" s="52">
        <f t="shared" si="7"/>
        <v>143972.68336943976</v>
      </c>
      <c r="I34" s="65">
        <f t="shared" si="8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9"/>
        <v/>
      </c>
      <c r="C35" s="472">
        <f>IF(D11="","-",+C34+1)</f>
        <v>2040</v>
      </c>
      <c r="D35" s="71">
        <f>IF(F34+SUM(E$17:E34)=D$10,F34,D$10-SUM(E$17:E34))</f>
        <v>959124.36904761964</v>
      </c>
      <c r="E35" s="69">
        <f t="shared" si="4"/>
        <v>38493.285714285717</v>
      </c>
      <c r="F35" s="68">
        <f t="shared" si="5"/>
        <v>920631.08333333395</v>
      </c>
      <c r="G35" s="70">
        <f t="shared" si="6"/>
        <v>139822.67428136812</v>
      </c>
      <c r="H35" s="52">
        <f t="shared" si="7"/>
        <v>139822.67428136812</v>
      </c>
      <c r="I35" s="65">
        <f t="shared" si="8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9"/>
        <v/>
      </c>
      <c r="C36" s="472">
        <f>IF(D11="","-",+C35+1)</f>
        <v>2041</v>
      </c>
      <c r="D36" s="71">
        <f>IF(F35+SUM(E$17:E35)=D$10,F35,D$10-SUM(E$17:E35))</f>
        <v>920631.08333333395</v>
      </c>
      <c r="E36" s="69">
        <f t="shared" si="4"/>
        <v>38493.285714285717</v>
      </c>
      <c r="F36" s="68">
        <f t="shared" si="5"/>
        <v>882137.79761904827</v>
      </c>
      <c r="G36" s="70">
        <f t="shared" si="6"/>
        <v>135672.6651932965</v>
      </c>
      <c r="H36" s="52">
        <f t="shared" si="7"/>
        <v>135672.6651932965</v>
      </c>
      <c r="I36" s="65">
        <f t="shared" si="8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9"/>
        <v/>
      </c>
      <c r="C37" s="472">
        <f>IF(D11="","-",+C36+1)</f>
        <v>2042</v>
      </c>
      <c r="D37" s="71">
        <f>IF(F36+SUM(E$17:E36)=D$10,F36,D$10-SUM(E$17:E36))</f>
        <v>882137.79761904827</v>
      </c>
      <c r="E37" s="69">
        <f t="shared" si="4"/>
        <v>38493.285714285717</v>
      </c>
      <c r="F37" s="68">
        <f t="shared" si="5"/>
        <v>843644.51190476259</v>
      </c>
      <c r="G37" s="70">
        <f t="shared" si="6"/>
        <v>131522.65610522489</v>
      </c>
      <c r="H37" s="52">
        <f t="shared" si="7"/>
        <v>131522.65610522489</v>
      </c>
      <c r="I37" s="65">
        <f t="shared" si="8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9"/>
        <v/>
      </c>
      <c r="C38" s="472">
        <f>IF(D11="","-",+C37+1)</f>
        <v>2043</v>
      </c>
      <c r="D38" s="71">
        <f>IF(F37+SUM(E$17:E37)=D$10,F37,D$10-SUM(E$17:E37))</f>
        <v>843644.51190476259</v>
      </c>
      <c r="E38" s="69">
        <f t="shared" si="4"/>
        <v>38493.285714285717</v>
      </c>
      <c r="F38" s="68">
        <f t="shared" si="5"/>
        <v>805151.22619047691</v>
      </c>
      <c r="G38" s="70">
        <f t="shared" si="6"/>
        <v>127372.64701715324</v>
      </c>
      <c r="H38" s="52">
        <f t="shared" si="7"/>
        <v>127372.64701715324</v>
      </c>
      <c r="I38" s="65">
        <f t="shared" si="8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9"/>
        <v/>
      </c>
      <c r="C39" s="472">
        <f>IF(D11="","-",+C38+1)</f>
        <v>2044</v>
      </c>
      <c r="D39" s="71">
        <f>IF(F38+SUM(E$17:E38)=D$10,F38,D$10-SUM(E$17:E38))</f>
        <v>805151.22619047691</v>
      </c>
      <c r="E39" s="69">
        <f t="shared" si="4"/>
        <v>38493.285714285717</v>
      </c>
      <c r="F39" s="68">
        <f t="shared" si="5"/>
        <v>766657.94047619123</v>
      </c>
      <c r="G39" s="70">
        <f t="shared" si="6"/>
        <v>123222.63792908163</v>
      </c>
      <c r="H39" s="52">
        <f t="shared" si="7"/>
        <v>123222.63792908163</v>
      </c>
      <c r="I39" s="65">
        <f t="shared" si="8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9"/>
        <v/>
      </c>
      <c r="C40" s="472">
        <f>IF(D11="","-",+C39+1)</f>
        <v>2045</v>
      </c>
      <c r="D40" s="71">
        <f>IF(F39+SUM(E$17:E39)=D$10,F39,D$10-SUM(E$17:E39))</f>
        <v>766657.94047619123</v>
      </c>
      <c r="E40" s="69">
        <f t="shared" si="4"/>
        <v>38493.285714285717</v>
      </c>
      <c r="F40" s="68">
        <f t="shared" si="5"/>
        <v>728164.65476190555</v>
      </c>
      <c r="G40" s="70">
        <f t="shared" si="6"/>
        <v>119072.62884100998</v>
      </c>
      <c r="H40" s="52">
        <f t="shared" si="7"/>
        <v>119072.62884100998</v>
      </c>
      <c r="I40" s="65">
        <f t="shared" si="8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9"/>
        <v/>
      </c>
      <c r="C41" s="472">
        <f>IF(D11="","-",+C40+1)</f>
        <v>2046</v>
      </c>
      <c r="D41" s="71">
        <f>IF(F40+SUM(E$17:E40)=D$10,F40,D$10-SUM(E$17:E40))</f>
        <v>728164.65476190555</v>
      </c>
      <c r="E41" s="69">
        <f t="shared" si="4"/>
        <v>38493.285714285717</v>
      </c>
      <c r="F41" s="68">
        <f t="shared" si="5"/>
        <v>689671.36904761987</v>
      </c>
      <c r="G41" s="70">
        <f t="shared" si="6"/>
        <v>114922.61975293836</v>
      </c>
      <c r="H41" s="52">
        <f t="shared" si="7"/>
        <v>114922.61975293836</v>
      </c>
      <c r="I41" s="65">
        <f t="shared" si="8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9"/>
        <v/>
      </c>
      <c r="C42" s="472">
        <f>IF(D11="","-",+C41+1)</f>
        <v>2047</v>
      </c>
      <c r="D42" s="71">
        <f>IF(F41+SUM(E$17:E41)=D$10,F41,D$10-SUM(E$17:E41))</f>
        <v>689671.36904761987</v>
      </c>
      <c r="E42" s="69">
        <f t="shared" si="4"/>
        <v>38493.285714285717</v>
      </c>
      <c r="F42" s="68">
        <f t="shared" si="5"/>
        <v>651178.08333333419</v>
      </c>
      <c r="G42" s="70">
        <f t="shared" si="6"/>
        <v>110772.61066486675</v>
      </c>
      <c r="H42" s="52">
        <f t="shared" si="7"/>
        <v>110772.61066486675</v>
      </c>
      <c r="I42" s="65">
        <f t="shared" si="8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9"/>
        <v/>
      </c>
      <c r="C43" s="472">
        <f>IF(D11="","-",+C42+1)</f>
        <v>2048</v>
      </c>
      <c r="D43" s="71">
        <f>IF(F42+SUM(E$17:E42)=D$10,F42,D$10-SUM(E$17:E42))</f>
        <v>651178.08333333419</v>
      </c>
      <c r="E43" s="69">
        <f t="shared" si="4"/>
        <v>38493.285714285717</v>
      </c>
      <c r="F43" s="68">
        <f t="shared" si="5"/>
        <v>612684.79761904851</v>
      </c>
      <c r="G43" s="70">
        <f t="shared" si="6"/>
        <v>106622.6015767951</v>
      </c>
      <c r="H43" s="52">
        <f t="shared" si="7"/>
        <v>106622.6015767951</v>
      </c>
      <c r="I43" s="65">
        <f t="shared" si="8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9"/>
        <v/>
      </c>
      <c r="C44" s="472">
        <f>IF(D11="","-",+C43+1)</f>
        <v>2049</v>
      </c>
      <c r="D44" s="71">
        <f>IF(F43+SUM(E$17:E43)=D$10,F43,D$10-SUM(E$17:E43))</f>
        <v>612684.79761904851</v>
      </c>
      <c r="E44" s="69">
        <f t="shared" si="4"/>
        <v>38493.285714285717</v>
      </c>
      <c r="F44" s="68">
        <f t="shared" si="5"/>
        <v>574191.51190476282</v>
      </c>
      <c r="G44" s="70">
        <f t="shared" si="6"/>
        <v>102472.59248872349</v>
      </c>
      <c r="H44" s="52">
        <f t="shared" si="7"/>
        <v>102472.59248872349</v>
      </c>
      <c r="I44" s="65">
        <f t="shared" si="8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9"/>
        <v/>
      </c>
      <c r="C45" s="472">
        <f>IF(D11="","-",+C44+1)</f>
        <v>2050</v>
      </c>
      <c r="D45" s="71">
        <f>IF(F44+SUM(E$17:E44)=D$10,F44,D$10-SUM(E$17:E44))</f>
        <v>574191.51190476282</v>
      </c>
      <c r="E45" s="69">
        <f t="shared" si="4"/>
        <v>38493.285714285717</v>
      </c>
      <c r="F45" s="68">
        <f t="shared" si="5"/>
        <v>535698.22619047714</v>
      </c>
      <c r="G45" s="70">
        <f t="shared" si="6"/>
        <v>98322.583400651842</v>
      </c>
      <c r="H45" s="52">
        <f t="shared" si="7"/>
        <v>98322.583400651842</v>
      </c>
      <c r="I45" s="65">
        <f t="shared" si="8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9"/>
        <v/>
      </c>
      <c r="C46" s="472">
        <f>IF(D11="","-",+C45+1)</f>
        <v>2051</v>
      </c>
      <c r="D46" s="71">
        <f>IF(F45+SUM(E$17:E45)=D$10,F45,D$10-SUM(E$17:E45))</f>
        <v>535698.22619047714</v>
      </c>
      <c r="E46" s="69">
        <f t="shared" si="4"/>
        <v>38493.285714285717</v>
      </c>
      <c r="F46" s="68">
        <f t="shared" si="5"/>
        <v>497204.9404761914</v>
      </c>
      <c r="G46" s="70">
        <f t="shared" si="6"/>
        <v>94172.574312580226</v>
      </c>
      <c r="H46" s="52">
        <f t="shared" si="7"/>
        <v>94172.574312580226</v>
      </c>
      <c r="I46" s="65">
        <f t="shared" si="8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9"/>
        <v/>
      </c>
      <c r="C47" s="472">
        <f>IF(D11="","-",+C46+1)</f>
        <v>2052</v>
      </c>
      <c r="D47" s="71">
        <f>IF(F46+SUM(E$17:E46)=D$10,F46,D$10-SUM(E$17:E46))</f>
        <v>497204.9404761914</v>
      </c>
      <c r="E47" s="69">
        <f t="shared" si="4"/>
        <v>38493.285714285717</v>
      </c>
      <c r="F47" s="68">
        <f t="shared" si="5"/>
        <v>458711.65476190567</v>
      </c>
      <c r="G47" s="70">
        <f t="shared" si="6"/>
        <v>90022.56522450858</v>
      </c>
      <c r="H47" s="52">
        <f t="shared" si="7"/>
        <v>90022.56522450858</v>
      </c>
      <c r="I47" s="65">
        <f t="shared" si="8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9"/>
        <v/>
      </c>
      <c r="C48" s="472">
        <f>IF(D11="","-",+C47+1)</f>
        <v>2053</v>
      </c>
      <c r="D48" s="71">
        <f>IF(F47+SUM(E$17:E47)=D$10,F47,D$10-SUM(E$17:E47))</f>
        <v>458711.65476190567</v>
      </c>
      <c r="E48" s="69">
        <f t="shared" si="4"/>
        <v>38493.285714285717</v>
      </c>
      <c r="F48" s="68">
        <f t="shared" si="5"/>
        <v>420218.36904761993</v>
      </c>
      <c r="G48" s="70">
        <f t="shared" si="6"/>
        <v>85872.55613643695</v>
      </c>
      <c r="H48" s="52">
        <f t="shared" si="7"/>
        <v>85872.55613643695</v>
      </c>
      <c r="I48" s="65">
        <f t="shared" si="8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9"/>
        <v/>
      </c>
      <c r="C49" s="472">
        <f>IF(D11="","-",+C48+1)</f>
        <v>2054</v>
      </c>
      <c r="D49" s="71">
        <f>IF(F48+SUM(E$17:E48)=D$10,F48,D$10-SUM(E$17:E48))</f>
        <v>420218.36904761993</v>
      </c>
      <c r="E49" s="69">
        <f t="shared" si="4"/>
        <v>38493.285714285717</v>
      </c>
      <c r="F49" s="68">
        <f t="shared" si="5"/>
        <v>381725.08333333419</v>
      </c>
      <c r="G49" s="70">
        <f t="shared" si="6"/>
        <v>81722.547048365319</v>
      </c>
      <c r="H49" s="52">
        <f t="shared" si="7"/>
        <v>81722.547048365319</v>
      </c>
      <c r="I49" s="65">
        <f t="shared" si="8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9"/>
        <v/>
      </c>
      <c r="C50" s="472">
        <f>IF(D11="","-",+C49+1)</f>
        <v>2055</v>
      </c>
      <c r="D50" s="71">
        <f>IF(F49+SUM(E$17:E49)=D$10,F49,D$10-SUM(E$17:E49))</f>
        <v>381725.08333333419</v>
      </c>
      <c r="E50" s="69">
        <f t="shared" si="4"/>
        <v>38493.285714285717</v>
      </c>
      <c r="F50" s="68">
        <f t="shared" si="5"/>
        <v>343231.79761904845</v>
      </c>
      <c r="G50" s="70">
        <f t="shared" si="6"/>
        <v>77572.537960293674</v>
      </c>
      <c r="H50" s="52">
        <f t="shared" si="7"/>
        <v>77572.537960293674</v>
      </c>
      <c r="I50" s="65">
        <f t="shared" si="8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9"/>
        <v/>
      </c>
      <c r="C51" s="472">
        <f>IF(D11="","-",+C50+1)</f>
        <v>2056</v>
      </c>
      <c r="D51" s="71">
        <f>IF(F50+SUM(E$17:E50)=D$10,F50,D$10-SUM(E$17:E50))</f>
        <v>343231.79761904845</v>
      </c>
      <c r="E51" s="69">
        <f t="shared" si="4"/>
        <v>38493.285714285717</v>
      </c>
      <c r="F51" s="68">
        <f t="shared" si="5"/>
        <v>304738.51190476271</v>
      </c>
      <c r="G51" s="70">
        <f t="shared" si="6"/>
        <v>73422.528872222043</v>
      </c>
      <c r="H51" s="52">
        <f t="shared" si="7"/>
        <v>73422.528872222043</v>
      </c>
      <c r="I51" s="65">
        <f t="shared" si="8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9"/>
        <v/>
      </c>
      <c r="C52" s="472">
        <f>IF(D11="","-",+C51+1)</f>
        <v>2057</v>
      </c>
      <c r="D52" s="71">
        <f>IF(F51+SUM(E$17:E51)=D$10,F51,D$10-SUM(E$17:E51))</f>
        <v>304738.51190476271</v>
      </c>
      <c r="E52" s="69">
        <f t="shared" si="4"/>
        <v>38493.285714285717</v>
      </c>
      <c r="F52" s="68">
        <f t="shared" si="5"/>
        <v>266245.22619047697</v>
      </c>
      <c r="G52" s="70">
        <f t="shared" si="6"/>
        <v>69272.519784150412</v>
      </c>
      <c r="H52" s="52">
        <f t="shared" si="7"/>
        <v>69272.519784150412</v>
      </c>
      <c r="I52" s="65">
        <f t="shared" si="8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9"/>
        <v/>
      </c>
      <c r="C53" s="472">
        <f>IF(D11="","-",+C52+1)</f>
        <v>2058</v>
      </c>
      <c r="D53" s="71">
        <f>IF(F52+SUM(E$17:E52)=D$10,F52,D$10-SUM(E$17:E52))</f>
        <v>266245.22619047697</v>
      </c>
      <c r="E53" s="69">
        <f t="shared" si="4"/>
        <v>38493.285714285717</v>
      </c>
      <c r="F53" s="68">
        <f t="shared" si="5"/>
        <v>227751.94047619126</v>
      </c>
      <c r="G53" s="70">
        <f t="shared" si="6"/>
        <v>65122.510696078774</v>
      </c>
      <c r="H53" s="52">
        <f t="shared" si="7"/>
        <v>65122.510696078774</v>
      </c>
      <c r="I53" s="65">
        <f t="shared" si="8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9"/>
        <v/>
      </c>
      <c r="C54" s="472">
        <f>IF(D11="","-",+C53+1)</f>
        <v>2059</v>
      </c>
      <c r="D54" s="71">
        <f>IF(F53+SUM(E$17:E53)=D$10,F53,D$10-SUM(E$17:E53))</f>
        <v>227751.94047619126</v>
      </c>
      <c r="E54" s="69">
        <f t="shared" si="4"/>
        <v>38493.285714285717</v>
      </c>
      <c r="F54" s="68">
        <f t="shared" si="5"/>
        <v>189258.65476190555</v>
      </c>
      <c r="G54" s="70">
        <f t="shared" si="6"/>
        <v>60972.501608007136</v>
      </c>
      <c r="H54" s="52">
        <f t="shared" si="7"/>
        <v>60972.501608007136</v>
      </c>
      <c r="I54" s="65">
        <f t="shared" si="8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9"/>
        <v/>
      </c>
      <c r="C55" s="472">
        <f>IF(D11="","-",+C54+1)</f>
        <v>2060</v>
      </c>
      <c r="D55" s="71">
        <f>IF(F54+SUM(E$17:E54)=D$10,F54,D$10-SUM(E$17:E54))</f>
        <v>189258.65476190555</v>
      </c>
      <c r="E55" s="69">
        <f t="shared" si="4"/>
        <v>38493.285714285717</v>
      </c>
      <c r="F55" s="68">
        <f t="shared" si="5"/>
        <v>150765.36904761984</v>
      </c>
      <c r="G55" s="70">
        <f t="shared" si="6"/>
        <v>56822.492519935513</v>
      </c>
      <c r="H55" s="52">
        <f t="shared" si="7"/>
        <v>56822.492519935513</v>
      </c>
      <c r="I55" s="65">
        <f t="shared" si="8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9"/>
        <v/>
      </c>
      <c r="C56" s="472">
        <f>IF(D11="","-",+C55+1)</f>
        <v>2061</v>
      </c>
      <c r="D56" s="71">
        <f>IF(F55+SUM(E$17:E55)=D$10,F55,D$10-SUM(E$17:E55))</f>
        <v>150765.36904761984</v>
      </c>
      <c r="E56" s="69">
        <f t="shared" si="4"/>
        <v>38493.285714285717</v>
      </c>
      <c r="F56" s="68">
        <f t="shared" si="5"/>
        <v>112272.08333333413</v>
      </c>
      <c r="G56" s="70">
        <f t="shared" si="6"/>
        <v>52672.483431863875</v>
      </c>
      <c r="H56" s="52">
        <f t="shared" si="7"/>
        <v>52672.483431863875</v>
      </c>
      <c r="I56" s="65">
        <f t="shared" si="8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9"/>
        <v/>
      </c>
      <c r="C57" s="472">
        <f>IF(D11="","-",+C56+1)</f>
        <v>2062</v>
      </c>
      <c r="D57" s="71">
        <f>IF(F56+SUM(E$17:E56)=D$10,F56,D$10-SUM(E$17:E56))</f>
        <v>112272.08333333413</v>
      </c>
      <c r="E57" s="69">
        <f t="shared" si="4"/>
        <v>38493.285714285717</v>
      </c>
      <c r="F57" s="68">
        <f t="shared" si="5"/>
        <v>73778.797619048419</v>
      </c>
      <c r="G57" s="70">
        <f t="shared" si="6"/>
        <v>48522.474343792244</v>
      </c>
      <c r="H57" s="52">
        <f t="shared" si="7"/>
        <v>48522.474343792244</v>
      </c>
      <c r="I57" s="65">
        <f t="shared" si="8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9"/>
        <v/>
      </c>
      <c r="C58" s="472">
        <f>IF(D11="","-",+C57+1)</f>
        <v>2063</v>
      </c>
      <c r="D58" s="71">
        <f>IF(F57+SUM(E$17:E57)=D$10,F57,D$10-SUM(E$17:E57))</f>
        <v>73778.797619048419</v>
      </c>
      <c r="E58" s="69">
        <f t="shared" si="4"/>
        <v>38493.285714285717</v>
      </c>
      <c r="F58" s="68">
        <f t="shared" si="5"/>
        <v>35285.511904762701</v>
      </c>
      <c r="G58" s="70">
        <f t="shared" si="6"/>
        <v>44372.465255720614</v>
      </c>
      <c r="H58" s="52">
        <f t="shared" si="7"/>
        <v>44372.465255720614</v>
      </c>
      <c r="I58" s="65">
        <f t="shared" si="8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9"/>
        <v/>
      </c>
      <c r="C59" s="472">
        <f>IF(D11="","-",+C58+1)</f>
        <v>2064</v>
      </c>
      <c r="D59" s="71">
        <f>IF(F58+SUM(E$17:E58)=D$10,F58,D$10-SUM(E$17:E58))</f>
        <v>35285.511904762701</v>
      </c>
      <c r="E59" s="69">
        <f t="shared" si="4"/>
        <v>35285.511904762701</v>
      </c>
      <c r="F59" s="68">
        <f t="shared" si="5"/>
        <v>0</v>
      </c>
      <c r="G59" s="70">
        <f t="shared" si="6"/>
        <v>37187.599403462242</v>
      </c>
      <c r="H59" s="52">
        <f t="shared" si="7"/>
        <v>37187.599403462242</v>
      </c>
      <c r="I59" s="65">
        <f t="shared" si="8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9"/>
        <v/>
      </c>
      <c r="C60" s="472">
        <f>IF(D11="","-",+C59+1)</f>
        <v>2065</v>
      </c>
      <c r="D60" s="71">
        <f>IF(F59+SUM(E$17:E59)=D$10,F59,D$10-SUM(E$17:E59))</f>
        <v>0</v>
      </c>
      <c r="E60" s="69">
        <f t="shared" si="4"/>
        <v>0</v>
      </c>
      <c r="F60" s="68">
        <f t="shared" si="5"/>
        <v>0</v>
      </c>
      <c r="G60" s="70">
        <f t="shared" si="6"/>
        <v>0</v>
      </c>
      <c r="H60" s="52">
        <f t="shared" si="7"/>
        <v>0</v>
      </c>
      <c r="I60" s="65">
        <f t="shared" si="8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9"/>
        <v/>
      </c>
      <c r="C61" s="472">
        <f>IF(D11="","-",+C60+1)</f>
        <v>2066</v>
      </c>
      <c r="D61" s="71">
        <f>IF(F60+SUM(E$17:E60)=D$10,F60,D$10-SUM(E$17:E60))</f>
        <v>0</v>
      </c>
      <c r="E61" s="69">
        <f t="shared" si="4"/>
        <v>0</v>
      </c>
      <c r="F61" s="68">
        <f t="shared" si="5"/>
        <v>0</v>
      </c>
      <c r="G61" s="70">
        <f t="shared" si="6"/>
        <v>0</v>
      </c>
      <c r="H61" s="52">
        <f t="shared" si="7"/>
        <v>0</v>
      </c>
      <c r="I61" s="65">
        <f t="shared" si="8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9"/>
        <v/>
      </c>
      <c r="C62" s="472">
        <f>IF(D11="","-",+C61+1)</f>
        <v>2067</v>
      </c>
      <c r="D62" s="71">
        <f>IF(F61+SUM(E$17:E61)=D$10,F61,D$10-SUM(E$17:E61))</f>
        <v>0</v>
      </c>
      <c r="E62" s="69">
        <f t="shared" si="4"/>
        <v>0</v>
      </c>
      <c r="F62" s="68">
        <f t="shared" si="5"/>
        <v>0</v>
      </c>
      <c r="G62" s="70">
        <f t="shared" si="6"/>
        <v>0</v>
      </c>
      <c r="H62" s="52">
        <f t="shared" si="7"/>
        <v>0</v>
      </c>
      <c r="I62" s="65">
        <f t="shared" si="8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9"/>
        <v/>
      </c>
      <c r="C63" s="472">
        <f>IF(D11="","-",+C62+1)</f>
        <v>2068</v>
      </c>
      <c r="D63" s="71">
        <f>IF(F62+SUM(E$17:E62)=D$10,F62,D$10-SUM(E$17:E62))</f>
        <v>0</v>
      </c>
      <c r="E63" s="69">
        <f t="shared" si="4"/>
        <v>0</v>
      </c>
      <c r="F63" s="68">
        <f t="shared" si="5"/>
        <v>0</v>
      </c>
      <c r="G63" s="70">
        <f t="shared" si="6"/>
        <v>0</v>
      </c>
      <c r="H63" s="52">
        <f t="shared" si="7"/>
        <v>0</v>
      </c>
      <c r="I63" s="65">
        <f t="shared" si="8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9"/>
        <v/>
      </c>
      <c r="C64" s="472">
        <f>IF(D11="","-",+C63+1)</f>
        <v>2069</v>
      </c>
      <c r="D64" s="71">
        <f>IF(F63+SUM(E$17:E63)=D$10,F63,D$10-SUM(E$17:E63))</f>
        <v>0</v>
      </c>
      <c r="E64" s="69">
        <f t="shared" si="4"/>
        <v>0</v>
      </c>
      <c r="F64" s="68">
        <f t="shared" si="5"/>
        <v>0</v>
      </c>
      <c r="G64" s="70">
        <f t="shared" si="6"/>
        <v>0</v>
      </c>
      <c r="H64" s="52">
        <f t="shared" si="7"/>
        <v>0</v>
      </c>
      <c r="I64" s="65">
        <f t="shared" si="8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9"/>
        <v/>
      </c>
      <c r="C65" s="472">
        <f>IF(D11="","-",+C64+1)</f>
        <v>2070</v>
      </c>
      <c r="D65" s="71">
        <f>IF(F64+SUM(E$17:E64)=D$10,F64,D$10-SUM(E$17:E64))</f>
        <v>0</v>
      </c>
      <c r="E65" s="69">
        <f t="shared" si="4"/>
        <v>0</v>
      </c>
      <c r="F65" s="68">
        <f t="shared" si="5"/>
        <v>0</v>
      </c>
      <c r="G65" s="70">
        <f t="shared" si="6"/>
        <v>0</v>
      </c>
      <c r="H65" s="52">
        <f t="shared" si="7"/>
        <v>0</v>
      </c>
      <c r="I65" s="65">
        <f t="shared" si="8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9"/>
        <v/>
      </c>
      <c r="C66" s="472">
        <f>IF(D11="","-",+C65+1)</f>
        <v>2071</v>
      </c>
      <c r="D66" s="71">
        <f>IF(F65+SUM(E$17:E65)=D$10,F65,D$10-SUM(E$17:E65))</f>
        <v>0</v>
      </c>
      <c r="E66" s="69">
        <f t="shared" si="4"/>
        <v>0</v>
      </c>
      <c r="F66" s="68">
        <f t="shared" si="5"/>
        <v>0</v>
      </c>
      <c r="G66" s="70">
        <f t="shared" si="6"/>
        <v>0</v>
      </c>
      <c r="H66" s="52">
        <f t="shared" si="7"/>
        <v>0</v>
      </c>
      <c r="I66" s="65">
        <f t="shared" si="8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9"/>
        <v/>
      </c>
      <c r="C67" s="472">
        <f>IF(D11="","-",+C66+1)</f>
        <v>2072</v>
      </c>
      <c r="D67" s="71">
        <f>IF(F66+SUM(E$17:E66)=D$10,F66,D$10-SUM(E$17:E66))</f>
        <v>0</v>
      </c>
      <c r="E67" s="69">
        <f t="shared" si="4"/>
        <v>0</v>
      </c>
      <c r="F67" s="68">
        <f t="shared" si="5"/>
        <v>0</v>
      </c>
      <c r="G67" s="70">
        <f t="shared" si="6"/>
        <v>0</v>
      </c>
      <c r="H67" s="52">
        <f t="shared" si="7"/>
        <v>0</v>
      </c>
      <c r="I67" s="65">
        <f t="shared" si="8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9"/>
        <v/>
      </c>
      <c r="C68" s="472">
        <f>IF(D11="","-",+C67+1)</f>
        <v>2073</v>
      </c>
      <c r="D68" s="71">
        <f>IF(F67+SUM(E$17:E67)=D$10,F67,D$10-SUM(E$17:E67))</f>
        <v>0</v>
      </c>
      <c r="E68" s="69">
        <f t="shared" si="4"/>
        <v>0</v>
      </c>
      <c r="F68" s="68">
        <f t="shared" si="5"/>
        <v>0</v>
      </c>
      <c r="G68" s="70">
        <f t="shared" si="6"/>
        <v>0</v>
      </c>
      <c r="H68" s="52">
        <f t="shared" si="7"/>
        <v>0</v>
      </c>
      <c r="I68" s="65">
        <f t="shared" si="8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9"/>
        <v/>
      </c>
      <c r="C69" s="472">
        <f>IF(D11="","-",+C68+1)</f>
        <v>2074</v>
      </c>
      <c r="D69" s="71">
        <f>IF(F68+SUM(E$17:E68)=D$10,F68,D$10-SUM(E$17:E68))</f>
        <v>0</v>
      </c>
      <c r="E69" s="69">
        <f t="shared" si="4"/>
        <v>0</v>
      </c>
      <c r="F69" s="68">
        <f t="shared" si="5"/>
        <v>0</v>
      </c>
      <c r="G69" s="70">
        <f t="shared" si="6"/>
        <v>0</v>
      </c>
      <c r="H69" s="52">
        <f t="shared" si="7"/>
        <v>0</v>
      </c>
      <c r="I69" s="65">
        <f t="shared" si="8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9"/>
        <v/>
      </c>
      <c r="C70" s="472">
        <f>IF(D11="","-",+C69+1)</f>
        <v>2075</v>
      </c>
      <c r="D70" s="71">
        <f>IF(F69+SUM(E$17:E69)=D$10,F69,D$10-SUM(E$17:E69))</f>
        <v>0</v>
      </c>
      <c r="E70" s="69">
        <f t="shared" si="4"/>
        <v>0</v>
      </c>
      <c r="F70" s="68">
        <f t="shared" si="5"/>
        <v>0</v>
      </c>
      <c r="G70" s="70">
        <f t="shared" si="6"/>
        <v>0</v>
      </c>
      <c r="H70" s="52">
        <f t="shared" si="7"/>
        <v>0</v>
      </c>
      <c r="I70" s="65">
        <f t="shared" si="8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9"/>
        <v/>
      </c>
      <c r="C71" s="472">
        <f>IF(D11="","-",+C70+1)</f>
        <v>2076</v>
      </c>
      <c r="D71" s="71">
        <f>IF(F70+SUM(E$17:E70)=D$10,F70,D$10-SUM(E$17:E70))</f>
        <v>0</v>
      </c>
      <c r="E71" s="69">
        <f t="shared" si="4"/>
        <v>0</v>
      </c>
      <c r="F71" s="68">
        <f t="shared" si="5"/>
        <v>0</v>
      </c>
      <c r="G71" s="70">
        <f t="shared" si="6"/>
        <v>0</v>
      </c>
      <c r="H71" s="52">
        <f t="shared" si="7"/>
        <v>0</v>
      </c>
      <c r="I71" s="65">
        <f t="shared" si="8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9"/>
        <v/>
      </c>
      <c r="C72" s="489">
        <f>IF(D11="","-",+C71+1)</f>
        <v>2077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1616718</v>
      </c>
      <c r="F73" s="347"/>
      <c r="G73" s="347">
        <f>SUM(G17:G72)</f>
        <v>5349651.1747204382</v>
      </c>
      <c r="H73" s="347">
        <f>SUM(H17:H72)</f>
        <v>5349651.1747204382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30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Tulsa SE - E 21st St Tap 138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TP2020033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0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+D11</f>
        <v>2022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f>+D12</f>
        <v>11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0</v>
      </c>
      <c r="K96" s="347"/>
      <c r="L96" s="347"/>
      <c r="M96" s="347"/>
      <c r="N96" s="347"/>
      <c r="O96" s="347"/>
      <c r="P96" s="242"/>
    </row>
    <row r="97" spans="1:16" ht="38.25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2022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478"/>
      <c r="L99" s="477">
        <f>+H99</f>
        <v>0</v>
      </c>
      <c r="M99" s="477">
        <f t="shared" ref="M99:M130" si="10">IF(L99&lt;&gt;0,+H99-L99,0)</f>
        <v>0</v>
      </c>
      <c r="N99" s="477">
        <f>+I99</f>
        <v>0</v>
      </c>
      <c r="O99" s="477">
        <f t="shared" ref="O99:O130" si="11">IF(N99&lt;&gt;0,+I99-N99,0)</f>
        <v>0</v>
      </c>
      <c r="P99" s="477">
        <f t="shared" ref="P99:P130" si="12">+O99-M99</f>
        <v>0</v>
      </c>
    </row>
    <row r="100" spans="1:16">
      <c r="B100" s="160" t="str">
        <f>IF(D100=F99,"","IU")</f>
        <v/>
      </c>
      <c r="C100" s="472">
        <f>IF(D93="","-",+C99+1)</f>
        <v>2023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3">+J$94*G100+E100</f>
        <v>0</v>
      </c>
      <c r="I100" s="139">
        <f t="shared" ref="I100:I154" si="14">+J$95*G100+E100</f>
        <v>0</v>
      </c>
      <c r="J100" s="67">
        <f t="shared" ref="J100:J130" si="15">+I100-H100</f>
        <v>0</v>
      </c>
      <c r="K100" s="478"/>
      <c r="L100" s="487"/>
      <c r="M100" s="478">
        <f t="shared" si="10"/>
        <v>0</v>
      </c>
      <c r="N100" s="487"/>
      <c r="O100" s="478">
        <f t="shared" si="11"/>
        <v>0</v>
      </c>
      <c r="P100" s="478">
        <f t="shared" si="12"/>
        <v>0</v>
      </c>
    </row>
    <row r="101" spans="1:16">
      <c r="B101" s="160" t="str">
        <f t="shared" ref="B101:B154" si="16">IF(D101=F100,"","IU")</f>
        <v/>
      </c>
      <c r="C101" s="472">
        <f>IF(D93="","-",+C100+1)</f>
        <v>2024</v>
      </c>
      <c r="D101" s="63">
        <f>IF(F100+SUM(E$99:E100)=D$92,F100,D$92-SUM(E$99:E100))</f>
        <v>0</v>
      </c>
      <c r="E101" s="69">
        <f t="shared" ref="E101:E154" si="17">IF(+J$96&lt;F100,J$96,D101)</f>
        <v>0</v>
      </c>
      <c r="F101" s="68">
        <f t="shared" ref="F101:F154" si="18">+D101-E101</f>
        <v>0</v>
      </c>
      <c r="G101" s="68">
        <f t="shared" ref="G101:G154" si="19">+(F101+D101)/2</f>
        <v>0</v>
      </c>
      <c r="H101" s="130">
        <f t="shared" si="13"/>
        <v>0</v>
      </c>
      <c r="I101" s="139">
        <f t="shared" si="14"/>
        <v>0</v>
      </c>
      <c r="J101" s="67">
        <f t="shared" si="15"/>
        <v>0</v>
      </c>
      <c r="K101" s="478"/>
      <c r="L101" s="487"/>
      <c r="M101" s="478">
        <f t="shared" si="10"/>
        <v>0</v>
      </c>
      <c r="N101" s="487"/>
      <c r="O101" s="478">
        <f t="shared" si="11"/>
        <v>0</v>
      </c>
      <c r="P101" s="478">
        <f t="shared" si="12"/>
        <v>0</v>
      </c>
    </row>
    <row r="102" spans="1:16">
      <c r="B102" s="160" t="str">
        <f t="shared" si="16"/>
        <v/>
      </c>
      <c r="C102" s="472">
        <f>IF(D93="","-",+C101+1)</f>
        <v>2025</v>
      </c>
      <c r="D102" s="63">
        <f>IF(F101+SUM(E$99:E101)=D$92,F101,D$92-SUM(E$99:E101))</f>
        <v>0</v>
      </c>
      <c r="E102" s="69">
        <f t="shared" si="17"/>
        <v>0</v>
      </c>
      <c r="F102" s="68">
        <f t="shared" si="18"/>
        <v>0</v>
      </c>
      <c r="G102" s="68">
        <f t="shared" si="19"/>
        <v>0</v>
      </c>
      <c r="H102" s="130">
        <f t="shared" si="13"/>
        <v>0</v>
      </c>
      <c r="I102" s="139">
        <f t="shared" si="14"/>
        <v>0</v>
      </c>
      <c r="J102" s="67">
        <f t="shared" si="15"/>
        <v>0</v>
      </c>
      <c r="K102" s="478"/>
      <c r="L102" s="487"/>
      <c r="M102" s="478">
        <f t="shared" si="10"/>
        <v>0</v>
      </c>
      <c r="N102" s="487"/>
      <c r="O102" s="478">
        <f t="shared" si="11"/>
        <v>0</v>
      </c>
      <c r="P102" s="478">
        <f t="shared" si="12"/>
        <v>0</v>
      </c>
    </row>
    <row r="103" spans="1:16">
      <c r="B103" s="160" t="str">
        <f t="shared" si="16"/>
        <v/>
      </c>
      <c r="C103" s="472">
        <f>IF(D93="","-",+C102+1)</f>
        <v>2026</v>
      </c>
      <c r="D103" s="63">
        <f>IF(F102+SUM(E$99:E102)=D$92,F102,D$92-SUM(E$99:E102))</f>
        <v>0</v>
      </c>
      <c r="E103" s="69">
        <f t="shared" si="17"/>
        <v>0</v>
      </c>
      <c r="F103" s="68">
        <f t="shared" si="18"/>
        <v>0</v>
      </c>
      <c r="G103" s="68">
        <f t="shared" si="19"/>
        <v>0</v>
      </c>
      <c r="H103" s="130">
        <f t="shared" si="13"/>
        <v>0</v>
      </c>
      <c r="I103" s="139">
        <f t="shared" si="14"/>
        <v>0</v>
      </c>
      <c r="J103" s="67">
        <f t="shared" si="15"/>
        <v>0</v>
      </c>
      <c r="K103" s="478"/>
      <c r="L103" s="487"/>
      <c r="M103" s="478">
        <f t="shared" si="10"/>
        <v>0</v>
      </c>
      <c r="N103" s="487"/>
      <c r="O103" s="478">
        <f t="shared" si="11"/>
        <v>0</v>
      </c>
      <c r="P103" s="478">
        <f t="shared" si="12"/>
        <v>0</v>
      </c>
    </row>
    <row r="104" spans="1:16">
      <c r="B104" s="160" t="str">
        <f t="shared" si="16"/>
        <v/>
      </c>
      <c r="C104" s="472">
        <f>IF(D93="","-",+C103+1)</f>
        <v>2027</v>
      </c>
      <c r="D104" s="63">
        <f>IF(F103+SUM(E$99:E103)=D$92,F103,D$92-SUM(E$99:E103))</f>
        <v>0</v>
      </c>
      <c r="E104" s="69">
        <f t="shared" si="17"/>
        <v>0</v>
      </c>
      <c r="F104" s="68">
        <f t="shared" si="18"/>
        <v>0</v>
      </c>
      <c r="G104" s="68">
        <f t="shared" si="19"/>
        <v>0</v>
      </c>
      <c r="H104" s="130">
        <f t="shared" si="13"/>
        <v>0</v>
      </c>
      <c r="I104" s="139">
        <f t="shared" si="14"/>
        <v>0</v>
      </c>
      <c r="J104" s="67">
        <f t="shared" si="15"/>
        <v>0</v>
      </c>
      <c r="K104" s="478"/>
      <c r="L104" s="487"/>
      <c r="M104" s="478">
        <f t="shared" si="10"/>
        <v>0</v>
      </c>
      <c r="N104" s="487"/>
      <c r="O104" s="478">
        <f t="shared" si="11"/>
        <v>0</v>
      </c>
      <c r="P104" s="478">
        <f t="shared" si="12"/>
        <v>0</v>
      </c>
    </row>
    <row r="105" spans="1:16">
      <c r="B105" s="160" t="str">
        <f t="shared" si="16"/>
        <v/>
      </c>
      <c r="C105" s="472">
        <f>IF(D93="","-",+C104+1)</f>
        <v>2028</v>
      </c>
      <c r="D105" s="63">
        <f>IF(F104+SUM(E$99:E104)=D$92,F104,D$92-SUM(E$99:E104))</f>
        <v>0</v>
      </c>
      <c r="E105" s="69">
        <f t="shared" si="17"/>
        <v>0</v>
      </c>
      <c r="F105" s="68">
        <f t="shared" si="18"/>
        <v>0</v>
      </c>
      <c r="G105" s="68">
        <f t="shared" si="19"/>
        <v>0</v>
      </c>
      <c r="H105" s="130">
        <f t="shared" si="13"/>
        <v>0</v>
      </c>
      <c r="I105" s="139">
        <f t="shared" si="14"/>
        <v>0</v>
      </c>
      <c r="J105" s="67">
        <f t="shared" si="15"/>
        <v>0</v>
      </c>
      <c r="K105" s="478"/>
      <c r="L105" s="487"/>
      <c r="M105" s="478">
        <f t="shared" si="10"/>
        <v>0</v>
      </c>
      <c r="N105" s="487"/>
      <c r="O105" s="478">
        <f t="shared" si="11"/>
        <v>0</v>
      </c>
      <c r="P105" s="478">
        <f t="shared" si="12"/>
        <v>0</v>
      </c>
    </row>
    <row r="106" spans="1:16">
      <c r="B106" s="160" t="str">
        <f t="shared" si="16"/>
        <v/>
      </c>
      <c r="C106" s="472">
        <f>IF(D93="","-",+C105+1)</f>
        <v>2029</v>
      </c>
      <c r="D106" s="63">
        <f>IF(F105+SUM(E$99:E105)=D$92,F105,D$92-SUM(E$99:E105))</f>
        <v>0</v>
      </c>
      <c r="E106" s="69">
        <f t="shared" si="17"/>
        <v>0</v>
      </c>
      <c r="F106" s="68">
        <f t="shared" si="18"/>
        <v>0</v>
      </c>
      <c r="G106" s="68">
        <f t="shared" si="19"/>
        <v>0</v>
      </c>
      <c r="H106" s="130">
        <f t="shared" si="13"/>
        <v>0</v>
      </c>
      <c r="I106" s="139">
        <f t="shared" si="14"/>
        <v>0</v>
      </c>
      <c r="J106" s="67">
        <f t="shared" si="15"/>
        <v>0</v>
      </c>
      <c r="K106" s="478"/>
      <c r="L106" s="487"/>
      <c r="M106" s="478">
        <f t="shared" si="10"/>
        <v>0</v>
      </c>
      <c r="N106" s="487"/>
      <c r="O106" s="478">
        <f t="shared" si="11"/>
        <v>0</v>
      </c>
      <c r="P106" s="478">
        <f t="shared" si="12"/>
        <v>0</v>
      </c>
    </row>
    <row r="107" spans="1:16">
      <c r="B107" s="160" t="str">
        <f t="shared" si="16"/>
        <v/>
      </c>
      <c r="C107" s="472">
        <f>IF(D93="","-",+C106+1)</f>
        <v>2030</v>
      </c>
      <c r="D107" s="63">
        <f>IF(F106+SUM(E$99:E106)=D$92,F106,D$92-SUM(E$99:E106))</f>
        <v>0</v>
      </c>
      <c r="E107" s="69">
        <f t="shared" si="17"/>
        <v>0</v>
      </c>
      <c r="F107" s="68">
        <f t="shared" si="18"/>
        <v>0</v>
      </c>
      <c r="G107" s="68">
        <f t="shared" si="19"/>
        <v>0</v>
      </c>
      <c r="H107" s="130">
        <f t="shared" si="13"/>
        <v>0</v>
      </c>
      <c r="I107" s="139">
        <f t="shared" si="14"/>
        <v>0</v>
      </c>
      <c r="J107" s="67">
        <f t="shared" si="15"/>
        <v>0</v>
      </c>
      <c r="K107" s="478"/>
      <c r="L107" s="487"/>
      <c r="M107" s="478">
        <f t="shared" si="10"/>
        <v>0</v>
      </c>
      <c r="N107" s="487"/>
      <c r="O107" s="478">
        <f t="shared" si="11"/>
        <v>0</v>
      </c>
      <c r="P107" s="478">
        <f t="shared" si="12"/>
        <v>0</v>
      </c>
    </row>
    <row r="108" spans="1:16">
      <c r="B108" s="160" t="str">
        <f t="shared" si="16"/>
        <v/>
      </c>
      <c r="C108" s="472">
        <f>IF(D93="","-",+C107+1)</f>
        <v>2031</v>
      </c>
      <c r="D108" s="63">
        <f>IF(F107+SUM(E$99:E107)=D$92,F107,D$92-SUM(E$99:E107))</f>
        <v>0</v>
      </c>
      <c r="E108" s="69">
        <f t="shared" si="17"/>
        <v>0</v>
      </c>
      <c r="F108" s="68">
        <f t="shared" si="18"/>
        <v>0</v>
      </c>
      <c r="G108" s="68">
        <f t="shared" si="19"/>
        <v>0</v>
      </c>
      <c r="H108" s="130">
        <f t="shared" si="13"/>
        <v>0</v>
      </c>
      <c r="I108" s="139">
        <f t="shared" si="14"/>
        <v>0</v>
      </c>
      <c r="J108" s="67">
        <f t="shared" si="15"/>
        <v>0</v>
      </c>
      <c r="K108" s="478"/>
      <c r="L108" s="487"/>
      <c r="M108" s="478">
        <f t="shared" si="10"/>
        <v>0</v>
      </c>
      <c r="N108" s="487"/>
      <c r="O108" s="478">
        <f t="shared" si="11"/>
        <v>0</v>
      </c>
      <c r="P108" s="478">
        <f t="shared" si="12"/>
        <v>0</v>
      </c>
    </row>
    <row r="109" spans="1:16">
      <c r="B109" s="160" t="str">
        <f t="shared" si="16"/>
        <v/>
      </c>
      <c r="C109" s="472">
        <f>IF(D93="","-",+C108+1)</f>
        <v>2032</v>
      </c>
      <c r="D109" s="63">
        <f>IF(F108+SUM(E$99:E108)=D$92,F108,D$92-SUM(E$99:E108))</f>
        <v>0</v>
      </c>
      <c r="E109" s="69">
        <f t="shared" si="17"/>
        <v>0</v>
      </c>
      <c r="F109" s="68">
        <f t="shared" si="18"/>
        <v>0</v>
      </c>
      <c r="G109" s="68">
        <f t="shared" si="19"/>
        <v>0</v>
      </c>
      <c r="H109" s="130">
        <f t="shared" si="13"/>
        <v>0</v>
      </c>
      <c r="I109" s="139">
        <f t="shared" si="14"/>
        <v>0</v>
      </c>
      <c r="J109" s="67">
        <f t="shared" si="15"/>
        <v>0</v>
      </c>
      <c r="K109" s="478"/>
      <c r="L109" s="487"/>
      <c r="M109" s="478">
        <f t="shared" si="10"/>
        <v>0</v>
      </c>
      <c r="N109" s="487"/>
      <c r="O109" s="478">
        <f t="shared" si="11"/>
        <v>0</v>
      </c>
      <c r="P109" s="478">
        <f t="shared" si="12"/>
        <v>0</v>
      </c>
    </row>
    <row r="110" spans="1:16">
      <c r="B110" s="160" t="str">
        <f t="shared" si="16"/>
        <v/>
      </c>
      <c r="C110" s="472">
        <f>IF(D93="","-",+C109+1)</f>
        <v>2033</v>
      </c>
      <c r="D110" s="63">
        <f>IF(F109+SUM(E$99:E109)=D$92,F109,D$92-SUM(E$99:E109))</f>
        <v>0</v>
      </c>
      <c r="E110" s="69">
        <f t="shared" si="17"/>
        <v>0</v>
      </c>
      <c r="F110" s="68">
        <f t="shared" si="18"/>
        <v>0</v>
      </c>
      <c r="G110" s="68">
        <f t="shared" si="19"/>
        <v>0</v>
      </c>
      <c r="H110" s="130">
        <f t="shared" si="13"/>
        <v>0</v>
      </c>
      <c r="I110" s="139">
        <f t="shared" si="14"/>
        <v>0</v>
      </c>
      <c r="J110" s="67">
        <f t="shared" si="15"/>
        <v>0</v>
      </c>
      <c r="K110" s="478"/>
      <c r="L110" s="487"/>
      <c r="M110" s="478">
        <f t="shared" si="10"/>
        <v>0</v>
      </c>
      <c r="N110" s="487"/>
      <c r="O110" s="478">
        <f t="shared" si="11"/>
        <v>0</v>
      </c>
      <c r="P110" s="478">
        <f t="shared" si="12"/>
        <v>0</v>
      </c>
    </row>
    <row r="111" spans="1:16">
      <c r="B111" s="160" t="str">
        <f t="shared" si="16"/>
        <v/>
      </c>
      <c r="C111" s="472">
        <f>IF(D93="","-",+C110+1)</f>
        <v>2034</v>
      </c>
      <c r="D111" s="63">
        <f>IF(F110+SUM(E$99:E110)=D$92,F110,D$92-SUM(E$99:E110))</f>
        <v>0</v>
      </c>
      <c r="E111" s="69">
        <f t="shared" si="17"/>
        <v>0</v>
      </c>
      <c r="F111" s="68">
        <f t="shared" si="18"/>
        <v>0</v>
      </c>
      <c r="G111" s="68">
        <f t="shared" si="19"/>
        <v>0</v>
      </c>
      <c r="H111" s="130">
        <f t="shared" si="13"/>
        <v>0</v>
      </c>
      <c r="I111" s="139">
        <f t="shared" si="14"/>
        <v>0</v>
      </c>
      <c r="J111" s="67">
        <f t="shared" si="15"/>
        <v>0</v>
      </c>
      <c r="K111" s="478"/>
      <c r="L111" s="487"/>
      <c r="M111" s="478">
        <f t="shared" si="10"/>
        <v>0</v>
      </c>
      <c r="N111" s="487"/>
      <c r="O111" s="478">
        <f t="shared" si="11"/>
        <v>0</v>
      </c>
      <c r="P111" s="478">
        <f t="shared" si="12"/>
        <v>0</v>
      </c>
    </row>
    <row r="112" spans="1:16">
      <c r="B112" s="160" t="str">
        <f t="shared" si="16"/>
        <v/>
      </c>
      <c r="C112" s="472">
        <f>IF(D93="","-",+C111+1)</f>
        <v>2035</v>
      </c>
      <c r="D112" s="63">
        <f>IF(F111+SUM(E$99:E111)=D$92,F111,D$92-SUM(E$99:E111))</f>
        <v>0</v>
      </c>
      <c r="E112" s="69">
        <f t="shared" si="17"/>
        <v>0</v>
      </c>
      <c r="F112" s="68">
        <f t="shared" si="18"/>
        <v>0</v>
      </c>
      <c r="G112" s="68">
        <f t="shared" si="19"/>
        <v>0</v>
      </c>
      <c r="H112" s="130">
        <f t="shared" si="13"/>
        <v>0</v>
      </c>
      <c r="I112" s="139">
        <f t="shared" si="14"/>
        <v>0</v>
      </c>
      <c r="J112" s="67">
        <f t="shared" si="15"/>
        <v>0</v>
      </c>
      <c r="K112" s="478"/>
      <c r="L112" s="487"/>
      <c r="M112" s="478">
        <f t="shared" si="10"/>
        <v>0</v>
      </c>
      <c r="N112" s="487"/>
      <c r="O112" s="478">
        <f t="shared" si="11"/>
        <v>0</v>
      </c>
      <c r="P112" s="478">
        <f t="shared" si="12"/>
        <v>0</v>
      </c>
    </row>
    <row r="113" spans="2:16">
      <c r="B113" s="160" t="str">
        <f t="shared" si="16"/>
        <v/>
      </c>
      <c r="C113" s="472">
        <f>IF(D93="","-",+C112+1)</f>
        <v>2036</v>
      </c>
      <c r="D113" s="63">
        <f>IF(F112+SUM(E$99:E112)=D$92,F112,D$92-SUM(E$99:E112))</f>
        <v>0</v>
      </c>
      <c r="E113" s="69">
        <f t="shared" si="17"/>
        <v>0</v>
      </c>
      <c r="F113" s="68">
        <f t="shared" si="18"/>
        <v>0</v>
      </c>
      <c r="G113" s="68">
        <f t="shared" si="19"/>
        <v>0</v>
      </c>
      <c r="H113" s="130">
        <f t="shared" si="13"/>
        <v>0</v>
      </c>
      <c r="I113" s="139">
        <f t="shared" si="14"/>
        <v>0</v>
      </c>
      <c r="J113" s="67">
        <f t="shared" si="15"/>
        <v>0</v>
      </c>
      <c r="K113" s="478"/>
      <c r="L113" s="487"/>
      <c r="M113" s="478">
        <f t="shared" si="10"/>
        <v>0</v>
      </c>
      <c r="N113" s="487"/>
      <c r="O113" s="478">
        <f t="shared" si="11"/>
        <v>0</v>
      </c>
      <c r="P113" s="478">
        <f t="shared" si="12"/>
        <v>0</v>
      </c>
    </row>
    <row r="114" spans="2:16">
      <c r="B114" s="160" t="str">
        <f t="shared" si="16"/>
        <v/>
      </c>
      <c r="C114" s="472">
        <f>IF(D93="","-",+C113+1)</f>
        <v>2037</v>
      </c>
      <c r="D114" s="63">
        <f>IF(F113+SUM(E$99:E113)=D$92,F113,D$92-SUM(E$99:E113))</f>
        <v>0</v>
      </c>
      <c r="E114" s="69">
        <f t="shared" si="17"/>
        <v>0</v>
      </c>
      <c r="F114" s="68">
        <f t="shared" si="18"/>
        <v>0</v>
      </c>
      <c r="G114" s="68">
        <f t="shared" si="19"/>
        <v>0</v>
      </c>
      <c r="H114" s="130">
        <f t="shared" si="13"/>
        <v>0</v>
      </c>
      <c r="I114" s="139">
        <f t="shared" si="14"/>
        <v>0</v>
      </c>
      <c r="J114" s="67">
        <f t="shared" si="15"/>
        <v>0</v>
      </c>
      <c r="K114" s="478"/>
      <c r="L114" s="487"/>
      <c r="M114" s="478">
        <f t="shared" si="10"/>
        <v>0</v>
      </c>
      <c r="N114" s="487"/>
      <c r="O114" s="478">
        <f t="shared" si="11"/>
        <v>0</v>
      </c>
      <c r="P114" s="478">
        <f t="shared" si="12"/>
        <v>0</v>
      </c>
    </row>
    <row r="115" spans="2:16">
      <c r="B115" s="160" t="str">
        <f t="shared" si="16"/>
        <v/>
      </c>
      <c r="C115" s="472">
        <f>IF(D93="","-",+C114+1)</f>
        <v>2038</v>
      </c>
      <c r="D115" s="63">
        <f>IF(F114+SUM(E$99:E114)=D$92,F114,D$92-SUM(E$99:E114))</f>
        <v>0</v>
      </c>
      <c r="E115" s="69">
        <f t="shared" si="17"/>
        <v>0</v>
      </c>
      <c r="F115" s="68">
        <f t="shared" si="18"/>
        <v>0</v>
      </c>
      <c r="G115" s="68">
        <f t="shared" si="19"/>
        <v>0</v>
      </c>
      <c r="H115" s="130">
        <f t="shared" si="13"/>
        <v>0</v>
      </c>
      <c r="I115" s="139">
        <f t="shared" si="14"/>
        <v>0</v>
      </c>
      <c r="J115" s="67">
        <f t="shared" si="15"/>
        <v>0</v>
      </c>
      <c r="K115" s="478"/>
      <c r="L115" s="487"/>
      <c r="M115" s="478">
        <f t="shared" si="10"/>
        <v>0</v>
      </c>
      <c r="N115" s="487"/>
      <c r="O115" s="478">
        <f t="shared" si="11"/>
        <v>0</v>
      </c>
      <c r="P115" s="478">
        <f t="shared" si="12"/>
        <v>0</v>
      </c>
    </row>
    <row r="116" spans="2:16">
      <c r="B116" s="160" t="str">
        <f t="shared" si="16"/>
        <v/>
      </c>
      <c r="C116" s="472">
        <f>IF(D93="","-",+C115+1)</f>
        <v>2039</v>
      </c>
      <c r="D116" s="63">
        <f>IF(F115+SUM(E$99:E115)=D$92,F115,D$92-SUM(E$99:E115))</f>
        <v>0</v>
      </c>
      <c r="E116" s="69">
        <f t="shared" si="17"/>
        <v>0</v>
      </c>
      <c r="F116" s="68">
        <f t="shared" si="18"/>
        <v>0</v>
      </c>
      <c r="G116" s="68">
        <f t="shared" si="19"/>
        <v>0</v>
      </c>
      <c r="H116" s="130">
        <f t="shared" si="13"/>
        <v>0</v>
      </c>
      <c r="I116" s="139">
        <f t="shared" si="14"/>
        <v>0</v>
      </c>
      <c r="J116" s="67">
        <f t="shared" si="15"/>
        <v>0</v>
      </c>
      <c r="K116" s="478"/>
      <c r="L116" s="487"/>
      <c r="M116" s="478">
        <f t="shared" si="10"/>
        <v>0</v>
      </c>
      <c r="N116" s="487"/>
      <c r="O116" s="478">
        <f t="shared" si="11"/>
        <v>0</v>
      </c>
      <c r="P116" s="478">
        <f t="shared" si="12"/>
        <v>0</v>
      </c>
    </row>
    <row r="117" spans="2:16">
      <c r="B117" s="160" t="str">
        <f t="shared" si="16"/>
        <v/>
      </c>
      <c r="C117" s="472">
        <f>IF(D93="","-",+C116+1)</f>
        <v>2040</v>
      </c>
      <c r="D117" s="63">
        <f>IF(F116+SUM(E$99:E116)=D$92,F116,D$92-SUM(E$99:E116))</f>
        <v>0</v>
      </c>
      <c r="E117" s="69">
        <f t="shared" si="17"/>
        <v>0</v>
      </c>
      <c r="F117" s="68">
        <f t="shared" si="18"/>
        <v>0</v>
      </c>
      <c r="G117" s="68">
        <f t="shared" si="19"/>
        <v>0</v>
      </c>
      <c r="H117" s="130">
        <f t="shared" si="13"/>
        <v>0</v>
      </c>
      <c r="I117" s="139">
        <f t="shared" si="14"/>
        <v>0</v>
      </c>
      <c r="J117" s="67">
        <f t="shared" si="15"/>
        <v>0</v>
      </c>
      <c r="K117" s="478"/>
      <c r="L117" s="487"/>
      <c r="M117" s="478">
        <f t="shared" si="10"/>
        <v>0</v>
      </c>
      <c r="N117" s="487"/>
      <c r="O117" s="478">
        <f t="shared" si="11"/>
        <v>0</v>
      </c>
      <c r="P117" s="478">
        <f t="shared" si="12"/>
        <v>0</v>
      </c>
    </row>
    <row r="118" spans="2:16">
      <c r="B118" s="160" t="str">
        <f t="shared" si="16"/>
        <v/>
      </c>
      <c r="C118" s="472">
        <f>IF(D93="","-",+C117+1)</f>
        <v>2041</v>
      </c>
      <c r="D118" s="63">
        <f>IF(F117+SUM(E$99:E117)=D$92,F117,D$92-SUM(E$99:E117))</f>
        <v>0</v>
      </c>
      <c r="E118" s="69">
        <f t="shared" si="17"/>
        <v>0</v>
      </c>
      <c r="F118" s="68">
        <f t="shared" si="18"/>
        <v>0</v>
      </c>
      <c r="G118" s="68">
        <f t="shared" si="19"/>
        <v>0</v>
      </c>
      <c r="H118" s="130">
        <f t="shared" si="13"/>
        <v>0</v>
      </c>
      <c r="I118" s="139">
        <f t="shared" si="14"/>
        <v>0</v>
      </c>
      <c r="J118" s="67">
        <f t="shared" si="15"/>
        <v>0</v>
      </c>
      <c r="K118" s="478"/>
      <c r="L118" s="487"/>
      <c r="M118" s="478">
        <f t="shared" si="10"/>
        <v>0</v>
      </c>
      <c r="N118" s="487"/>
      <c r="O118" s="478">
        <f t="shared" si="11"/>
        <v>0</v>
      </c>
      <c r="P118" s="478">
        <f t="shared" si="12"/>
        <v>0</v>
      </c>
    </row>
    <row r="119" spans="2:16">
      <c r="B119" s="160" t="str">
        <f t="shared" si="16"/>
        <v/>
      </c>
      <c r="C119" s="472">
        <f>IF(D93="","-",+C118+1)</f>
        <v>2042</v>
      </c>
      <c r="D119" s="63">
        <f>IF(F118+SUM(E$99:E118)=D$92,F118,D$92-SUM(E$99:E118))</f>
        <v>0</v>
      </c>
      <c r="E119" s="69">
        <f t="shared" si="17"/>
        <v>0</v>
      </c>
      <c r="F119" s="68">
        <f t="shared" si="18"/>
        <v>0</v>
      </c>
      <c r="G119" s="68">
        <f t="shared" si="19"/>
        <v>0</v>
      </c>
      <c r="H119" s="130">
        <f t="shared" si="13"/>
        <v>0</v>
      </c>
      <c r="I119" s="139">
        <f t="shared" si="14"/>
        <v>0</v>
      </c>
      <c r="J119" s="67">
        <f t="shared" si="15"/>
        <v>0</v>
      </c>
      <c r="K119" s="478"/>
      <c r="L119" s="487"/>
      <c r="M119" s="478">
        <f t="shared" si="10"/>
        <v>0</v>
      </c>
      <c r="N119" s="487"/>
      <c r="O119" s="478">
        <f t="shared" si="11"/>
        <v>0</v>
      </c>
      <c r="P119" s="478">
        <f t="shared" si="12"/>
        <v>0</v>
      </c>
    </row>
    <row r="120" spans="2:16">
      <c r="B120" s="160" t="str">
        <f t="shared" si="16"/>
        <v/>
      </c>
      <c r="C120" s="472">
        <f>IF(D93="","-",+C119+1)</f>
        <v>2043</v>
      </c>
      <c r="D120" s="63">
        <f>IF(F119+SUM(E$99:E119)=D$92,F119,D$92-SUM(E$99:E119))</f>
        <v>0</v>
      </c>
      <c r="E120" s="69">
        <f t="shared" si="17"/>
        <v>0</v>
      </c>
      <c r="F120" s="68">
        <f t="shared" si="18"/>
        <v>0</v>
      </c>
      <c r="G120" s="68">
        <f t="shared" si="19"/>
        <v>0</v>
      </c>
      <c r="H120" s="130">
        <f t="shared" si="13"/>
        <v>0</v>
      </c>
      <c r="I120" s="139">
        <f t="shared" si="14"/>
        <v>0</v>
      </c>
      <c r="J120" s="67">
        <f t="shared" si="15"/>
        <v>0</v>
      </c>
      <c r="K120" s="478"/>
      <c r="L120" s="487"/>
      <c r="M120" s="478">
        <f t="shared" si="10"/>
        <v>0</v>
      </c>
      <c r="N120" s="487"/>
      <c r="O120" s="478">
        <f t="shared" si="11"/>
        <v>0</v>
      </c>
      <c r="P120" s="478">
        <f t="shared" si="12"/>
        <v>0</v>
      </c>
    </row>
    <row r="121" spans="2:16">
      <c r="B121" s="160" t="str">
        <f t="shared" si="16"/>
        <v/>
      </c>
      <c r="C121" s="472">
        <f>IF(D93="","-",+C120+1)</f>
        <v>2044</v>
      </c>
      <c r="D121" s="63">
        <f>IF(F120+SUM(E$99:E120)=D$92,F120,D$92-SUM(E$99:E120))</f>
        <v>0</v>
      </c>
      <c r="E121" s="69">
        <f t="shared" si="17"/>
        <v>0</v>
      </c>
      <c r="F121" s="68">
        <f t="shared" si="18"/>
        <v>0</v>
      </c>
      <c r="G121" s="68">
        <f t="shared" si="19"/>
        <v>0</v>
      </c>
      <c r="H121" s="130">
        <f t="shared" si="13"/>
        <v>0</v>
      </c>
      <c r="I121" s="139">
        <f t="shared" si="14"/>
        <v>0</v>
      </c>
      <c r="J121" s="67">
        <f t="shared" si="15"/>
        <v>0</v>
      </c>
      <c r="K121" s="478"/>
      <c r="L121" s="487"/>
      <c r="M121" s="478">
        <f t="shared" si="10"/>
        <v>0</v>
      </c>
      <c r="N121" s="487"/>
      <c r="O121" s="478">
        <f t="shared" si="11"/>
        <v>0</v>
      </c>
      <c r="P121" s="478">
        <f t="shared" si="12"/>
        <v>0</v>
      </c>
    </row>
    <row r="122" spans="2:16">
      <c r="B122" s="160" t="str">
        <f t="shared" si="16"/>
        <v/>
      </c>
      <c r="C122" s="472">
        <f>IF(D93="","-",+C121+1)</f>
        <v>2045</v>
      </c>
      <c r="D122" s="63">
        <f>IF(F121+SUM(E$99:E121)=D$92,F121,D$92-SUM(E$99:E121))</f>
        <v>0</v>
      </c>
      <c r="E122" s="69">
        <f t="shared" si="17"/>
        <v>0</v>
      </c>
      <c r="F122" s="68">
        <f t="shared" si="18"/>
        <v>0</v>
      </c>
      <c r="G122" s="68">
        <f t="shared" si="19"/>
        <v>0</v>
      </c>
      <c r="H122" s="130">
        <f t="shared" si="13"/>
        <v>0</v>
      </c>
      <c r="I122" s="139">
        <f t="shared" si="14"/>
        <v>0</v>
      </c>
      <c r="J122" s="67">
        <f t="shared" si="15"/>
        <v>0</v>
      </c>
      <c r="K122" s="478"/>
      <c r="L122" s="487"/>
      <c r="M122" s="478">
        <f t="shared" si="10"/>
        <v>0</v>
      </c>
      <c r="N122" s="487"/>
      <c r="O122" s="478">
        <f t="shared" si="11"/>
        <v>0</v>
      </c>
      <c r="P122" s="478">
        <f t="shared" si="12"/>
        <v>0</v>
      </c>
    </row>
    <row r="123" spans="2:16">
      <c r="B123" s="160" t="str">
        <f t="shared" si="16"/>
        <v/>
      </c>
      <c r="C123" s="472">
        <f>IF(D93="","-",+C122+1)</f>
        <v>2046</v>
      </c>
      <c r="D123" s="63">
        <f>IF(F122+SUM(E$99:E122)=D$92,F122,D$92-SUM(E$99:E122))</f>
        <v>0</v>
      </c>
      <c r="E123" s="69">
        <f t="shared" si="17"/>
        <v>0</v>
      </c>
      <c r="F123" s="68">
        <f t="shared" si="18"/>
        <v>0</v>
      </c>
      <c r="G123" s="68">
        <f t="shared" si="19"/>
        <v>0</v>
      </c>
      <c r="H123" s="130">
        <f t="shared" si="13"/>
        <v>0</v>
      </c>
      <c r="I123" s="139">
        <f t="shared" si="14"/>
        <v>0</v>
      </c>
      <c r="J123" s="67">
        <f t="shared" si="15"/>
        <v>0</v>
      </c>
      <c r="K123" s="478"/>
      <c r="L123" s="487"/>
      <c r="M123" s="478">
        <f t="shared" si="10"/>
        <v>0</v>
      </c>
      <c r="N123" s="487"/>
      <c r="O123" s="478">
        <f t="shared" si="11"/>
        <v>0</v>
      </c>
      <c r="P123" s="478">
        <f t="shared" si="12"/>
        <v>0</v>
      </c>
    </row>
    <row r="124" spans="2:16">
      <c r="B124" s="160" t="str">
        <f t="shared" si="16"/>
        <v/>
      </c>
      <c r="C124" s="472">
        <f>IF(D93="","-",+C123+1)</f>
        <v>2047</v>
      </c>
      <c r="D124" s="63">
        <f>IF(F123+SUM(E$99:E123)=D$92,F123,D$92-SUM(E$99:E123))</f>
        <v>0</v>
      </c>
      <c r="E124" s="69">
        <f t="shared" si="17"/>
        <v>0</v>
      </c>
      <c r="F124" s="68">
        <f t="shared" si="18"/>
        <v>0</v>
      </c>
      <c r="G124" s="68">
        <f t="shared" si="19"/>
        <v>0</v>
      </c>
      <c r="H124" s="130">
        <f t="shared" si="13"/>
        <v>0</v>
      </c>
      <c r="I124" s="139">
        <f t="shared" si="14"/>
        <v>0</v>
      </c>
      <c r="J124" s="67">
        <f t="shared" si="15"/>
        <v>0</v>
      </c>
      <c r="K124" s="478"/>
      <c r="L124" s="487"/>
      <c r="M124" s="478">
        <f t="shared" si="10"/>
        <v>0</v>
      </c>
      <c r="N124" s="487"/>
      <c r="O124" s="478">
        <f t="shared" si="11"/>
        <v>0</v>
      </c>
      <c r="P124" s="478">
        <f t="shared" si="12"/>
        <v>0</v>
      </c>
    </row>
    <row r="125" spans="2:16">
      <c r="B125" s="160" t="str">
        <f t="shared" si="16"/>
        <v/>
      </c>
      <c r="C125" s="472">
        <f>IF(D93="","-",+C124+1)</f>
        <v>2048</v>
      </c>
      <c r="D125" s="63">
        <f>IF(F124+SUM(E$99:E124)=D$92,F124,D$92-SUM(E$99:E124))</f>
        <v>0</v>
      </c>
      <c r="E125" s="69">
        <f t="shared" si="17"/>
        <v>0</v>
      </c>
      <c r="F125" s="68">
        <f t="shared" si="18"/>
        <v>0</v>
      </c>
      <c r="G125" s="68">
        <f t="shared" si="19"/>
        <v>0</v>
      </c>
      <c r="H125" s="130">
        <f t="shared" si="13"/>
        <v>0</v>
      </c>
      <c r="I125" s="139">
        <f t="shared" si="14"/>
        <v>0</v>
      </c>
      <c r="J125" s="67">
        <f t="shared" si="15"/>
        <v>0</v>
      </c>
      <c r="K125" s="478"/>
      <c r="L125" s="487"/>
      <c r="M125" s="478">
        <f t="shared" si="10"/>
        <v>0</v>
      </c>
      <c r="N125" s="487"/>
      <c r="O125" s="478">
        <f t="shared" si="11"/>
        <v>0</v>
      </c>
      <c r="P125" s="478">
        <f t="shared" si="12"/>
        <v>0</v>
      </c>
    </row>
    <row r="126" spans="2:16">
      <c r="B126" s="160" t="str">
        <f t="shared" si="16"/>
        <v/>
      </c>
      <c r="C126" s="472">
        <f>IF(D93="","-",+C125+1)</f>
        <v>2049</v>
      </c>
      <c r="D126" s="63">
        <f>IF(F125+SUM(E$99:E125)=D$92,F125,D$92-SUM(E$99:E125))</f>
        <v>0</v>
      </c>
      <c r="E126" s="69">
        <f t="shared" si="17"/>
        <v>0</v>
      </c>
      <c r="F126" s="68">
        <f t="shared" si="18"/>
        <v>0</v>
      </c>
      <c r="G126" s="68">
        <f t="shared" si="19"/>
        <v>0</v>
      </c>
      <c r="H126" s="130">
        <f t="shared" si="13"/>
        <v>0</v>
      </c>
      <c r="I126" s="139">
        <f t="shared" si="14"/>
        <v>0</v>
      </c>
      <c r="J126" s="67">
        <f t="shared" si="15"/>
        <v>0</v>
      </c>
      <c r="K126" s="478"/>
      <c r="L126" s="487"/>
      <c r="M126" s="478">
        <f t="shared" si="10"/>
        <v>0</v>
      </c>
      <c r="N126" s="487"/>
      <c r="O126" s="478">
        <f t="shared" si="11"/>
        <v>0</v>
      </c>
      <c r="P126" s="478">
        <f t="shared" si="12"/>
        <v>0</v>
      </c>
    </row>
    <row r="127" spans="2:16">
      <c r="B127" s="160" t="str">
        <f t="shared" si="16"/>
        <v/>
      </c>
      <c r="C127" s="472">
        <f>IF(D93="","-",+C126+1)</f>
        <v>2050</v>
      </c>
      <c r="D127" s="63">
        <f>IF(F126+SUM(E$99:E126)=D$92,F126,D$92-SUM(E$99:E126))</f>
        <v>0</v>
      </c>
      <c r="E127" s="69">
        <f t="shared" si="17"/>
        <v>0</v>
      </c>
      <c r="F127" s="68">
        <f t="shared" si="18"/>
        <v>0</v>
      </c>
      <c r="G127" s="68">
        <f t="shared" si="19"/>
        <v>0</v>
      </c>
      <c r="H127" s="130">
        <f t="shared" si="13"/>
        <v>0</v>
      </c>
      <c r="I127" s="139">
        <f t="shared" si="14"/>
        <v>0</v>
      </c>
      <c r="J127" s="67">
        <f t="shared" si="15"/>
        <v>0</v>
      </c>
      <c r="K127" s="478"/>
      <c r="L127" s="487"/>
      <c r="M127" s="478">
        <f t="shared" si="10"/>
        <v>0</v>
      </c>
      <c r="N127" s="487"/>
      <c r="O127" s="478">
        <f t="shared" si="11"/>
        <v>0</v>
      </c>
      <c r="P127" s="478">
        <f t="shared" si="12"/>
        <v>0</v>
      </c>
    </row>
    <row r="128" spans="2:16">
      <c r="B128" s="160" t="str">
        <f t="shared" si="16"/>
        <v/>
      </c>
      <c r="C128" s="472">
        <f>IF(D93="","-",+C127+1)</f>
        <v>2051</v>
      </c>
      <c r="D128" s="63">
        <f>IF(F127+SUM(E$99:E127)=D$92,F127,D$92-SUM(E$99:E127))</f>
        <v>0</v>
      </c>
      <c r="E128" s="69">
        <f t="shared" si="17"/>
        <v>0</v>
      </c>
      <c r="F128" s="68">
        <f t="shared" si="18"/>
        <v>0</v>
      </c>
      <c r="G128" s="68">
        <f t="shared" si="19"/>
        <v>0</v>
      </c>
      <c r="H128" s="130">
        <f t="shared" si="13"/>
        <v>0</v>
      </c>
      <c r="I128" s="139">
        <f t="shared" si="14"/>
        <v>0</v>
      </c>
      <c r="J128" s="67">
        <f t="shared" si="15"/>
        <v>0</v>
      </c>
      <c r="K128" s="478"/>
      <c r="L128" s="487"/>
      <c r="M128" s="478">
        <f t="shared" si="10"/>
        <v>0</v>
      </c>
      <c r="N128" s="487"/>
      <c r="O128" s="478">
        <f t="shared" si="11"/>
        <v>0</v>
      </c>
      <c r="P128" s="478">
        <f t="shared" si="12"/>
        <v>0</v>
      </c>
    </row>
    <row r="129" spans="2:16">
      <c r="B129" s="160" t="str">
        <f t="shared" si="16"/>
        <v/>
      </c>
      <c r="C129" s="472">
        <f>IF(D93="","-",+C128+1)</f>
        <v>2052</v>
      </c>
      <c r="D129" s="63">
        <f>IF(F128+SUM(E$99:E128)=D$92,F128,D$92-SUM(E$99:E128))</f>
        <v>0</v>
      </c>
      <c r="E129" s="69">
        <f t="shared" si="17"/>
        <v>0</v>
      </c>
      <c r="F129" s="68">
        <f t="shared" si="18"/>
        <v>0</v>
      </c>
      <c r="G129" s="68">
        <f t="shared" si="19"/>
        <v>0</v>
      </c>
      <c r="H129" s="130">
        <f t="shared" si="13"/>
        <v>0</v>
      </c>
      <c r="I129" s="139">
        <f t="shared" si="14"/>
        <v>0</v>
      </c>
      <c r="J129" s="67">
        <f t="shared" si="15"/>
        <v>0</v>
      </c>
      <c r="K129" s="478"/>
      <c r="L129" s="487"/>
      <c r="M129" s="478">
        <f t="shared" si="10"/>
        <v>0</v>
      </c>
      <c r="N129" s="487"/>
      <c r="O129" s="478">
        <f t="shared" si="11"/>
        <v>0</v>
      </c>
      <c r="P129" s="478">
        <f t="shared" si="12"/>
        <v>0</v>
      </c>
    </row>
    <row r="130" spans="2:16">
      <c r="B130" s="160" t="str">
        <f t="shared" si="16"/>
        <v/>
      </c>
      <c r="C130" s="472">
        <f>IF(D93="","-",+C129+1)</f>
        <v>2053</v>
      </c>
      <c r="D130" s="63">
        <f>IF(F129+SUM(E$99:E129)=D$92,F129,D$92-SUM(E$99:E129))</f>
        <v>0</v>
      </c>
      <c r="E130" s="69">
        <f t="shared" si="17"/>
        <v>0</v>
      </c>
      <c r="F130" s="68">
        <f t="shared" si="18"/>
        <v>0</v>
      </c>
      <c r="G130" s="68">
        <f t="shared" si="19"/>
        <v>0</v>
      </c>
      <c r="H130" s="130">
        <f t="shared" si="13"/>
        <v>0</v>
      </c>
      <c r="I130" s="139">
        <f t="shared" si="14"/>
        <v>0</v>
      </c>
      <c r="J130" s="67">
        <f t="shared" si="15"/>
        <v>0</v>
      </c>
      <c r="K130" s="478"/>
      <c r="L130" s="487"/>
      <c r="M130" s="478">
        <f t="shared" si="10"/>
        <v>0</v>
      </c>
      <c r="N130" s="487"/>
      <c r="O130" s="478">
        <f t="shared" si="11"/>
        <v>0</v>
      </c>
      <c r="P130" s="478">
        <f t="shared" si="12"/>
        <v>0</v>
      </c>
    </row>
    <row r="131" spans="2:16">
      <c r="B131" s="160" t="str">
        <f t="shared" si="16"/>
        <v/>
      </c>
      <c r="C131" s="472">
        <f>IF(D93="","-",+C130+1)</f>
        <v>2054</v>
      </c>
      <c r="D131" s="63">
        <f>IF(F130+SUM(E$99:E130)=D$92,F130,D$92-SUM(E$99:E130))</f>
        <v>0</v>
      </c>
      <c r="E131" s="69">
        <f t="shared" si="17"/>
        <v>0</v>
      </c>
      <c r="F131" s="68">
        <f t="shared" si="18"/>
        <v>0</v>
      </c>
      <c r="G131" s="68">
        <f t="shared" si="19"/>
        <v>0</v>
      </c>
      <c r="H131" s="130">
        <f t="shared" si="13"/>
        <v>0</v>
      </c>
      <c r="I131" s="139">
        <f t="shared" si="14"/>
        <v>0</v>
      </c>
      <c r="J131" s="67">
        <f t="shared" ref="J131:J154" si="20">+I541-H541</f>
        <v>0</v>
      </c>
      <c r="K131" s="478"/>
      <c r="L131" s="487"/>
      <c r="M131" s="478">
        <f t="shared" ref="M131:M154" si="21">IF(L541&lt;&gt;0,+H541-L541,0)</f>
        <v>0</v>
      </c>
      <c r="N131" s="487"/>
      <c r="O131" s="478">
        <f t="shared" ref="O131:O154" si="22">IF(N541&lt;&gt;0,+I541-N541,0)</f>
        <v>0</v>
      </c>
      <c r="P131" s="478">
        <f t="shared" ref="P131:P154" si="23">+O541-M541</f>
        <v>0</v>
      </c>
    </row>
    <row r="132" spans="2:16">
      <c r="B132" s="160" t="str">
        <f t="shared" si="16"/>
        <v/>
      </c>
      <c r="C132" s="472">
        <f>IF(D93="","-",+C131+1)</f>
        <v>2055</v>
      </c>
      <c r="D132" s="63">
        <f>IF(F131+SUM(E$99:E131)=D$92,F131,D$92-SUM(E$99:E131))</f>
        <v>0</v>
      </c>
      <c r="E132" s="69">
        <f t="shared" si="17"/>
        <v>0</v>
      </c>
      <c r="F132" s="68">
        <f t="shared" si="18"/>
        <v>0</v>
      </c>
      <c r="G132" s="68">
        <f t="shared" si="19"/>
        <v>0</v>
      </c>
      <c r="H132" s="130">
        <f t="shared" si="13"/>
        <v>0</v>
      </c>
      <c r="I132" s="139">
        <f t="shared" si="14"/>
        <v>0</v>
      </c>
      <c r="J132" s="67">
        <f t="shared" si="20"/>
        <v>0</v>
      </c>
      <c r="K132" s="478"/>
      <c r="L132" s="487"/>
      <c r="M132" s="478">
        <f t="shared" si="21"/>
        <v>0</v>
      </c>
      <c r="N132" s="487"/>
      <c r="O132" s="478">
        <f t="shared" si="22"/>
        <v>0</v>
      </c>
      <c r="P132" s="478">
        <f t="shared" si="23"/>
        <v>0</v>
      </c>
    </row>
    <row r="133" spans="2:16">
      <c r="B133" s="160" t="str">
        <f t="shared" si="16"/>
        <v/>
      </c>
      <c r="C133" s="472">
        <f>IF(D93="","-",+C132+1)</f>
        <v>2056</v>
      </c>
      <c r="D133" s="63">
        <f>IF(F132+SUM(E$99:E132)=D$92,F132,D$92-SUM(E$99:E132))</f>
        <v>0</v>
      </c>
      <c r="E133" s="69">
        <f t="shared" si="17"/>
        <v>0</v>
      </c>
      <c r="F133" s="68">
        <f t="shared" si="18"/>
        <v>0</v>
      </c>
      <c r="G133" s="68">
        <f t="shared" si="19"/>
        <v>0</v>
      </c>
      <c r="H133" s="130">
        <f t="shared" si="13"/>
        <v>0</v>
      </c>
      <c r="I133" s="139">
        <f t="shared" si="14"/>
        <v>0</v>
      </c>
      <c r="J133" s="67">
        <f t="shared" si="20"/>
        <v>0</v>
      </c>
      <c r="K133" s="478"/>
      <c r="L133" s="487"/>
      <c r="M133" s="478">
        <f t="shared" si="21"/>
        <v>0</v>
      </c>
      <c r="N133" s="487"/>
      <c r="O133" s="478">
        <f t="shared" si="22"/>
        <v>0</v>
      </c>
      <c r="P133" s="478">
        <f t="shared" si="23"/>
        <v>0</v>
      </c>
    </row>
    <row r="134" spans="2:16">
      <c r="B134" s="160" t="str">
        <f t="shared" si="16"/>
        <v/>
      </c>
      <c r="C134" s="472">
        <f>IF(D93="","-",+C133+1)</f>
        <v>2057</v>
      </c>
      <c r="D134" s="63">
        <f>IF(F133+SUM(E$99:E133)=D$92,F133,D$92-SUM(E$99:E133))</f>
        <v>0</v>
      </c>
      <c r="E134" s="69">
        <f t="shared" si="17"/>
        <v>0</v>
      </c>
      <c r="F134" s="68">
        <f t="shared" si="18"/>
        <v>0</v>
      </c>
      <c r="G134" s="68">
        <f t="shared" si="19"/>
        <v>0</v>
      </c>
      <c r="H134" s="130">
        <f t="shared" si="13"/>
        <v>0</v>
      </c>
      <c r="I134" s="139">
        <f t="shared" si="14"/>
        <v>0</v>
      </c>
      <c r="J134" s="67">
        <f t="shared" si="20"/>
        <v>0</v>
      </c>
      <c r="K134" s="478"/>
      <c r="L134" s="487"/>
      <c r="M134" s="478">
        <f t="shared" si="21"/>
        <v>0</v>
      </c>
      <c r="N134" s="487"/>
      <c r="O134" s="478">
        <f t="shared" si="22"/>
        <v>0</v>
      </c>
      <c r="P134" s="478">
        <f t="shared" si="23"/>
        <v>0</v>
      </c>
    </row>
    <row r="135" spans="2:16">
      <c r="B135" s="160" t="str">
        <f t="shared" si="16"/>
        <v/>
      </c>
      <c r="C135" s="472">
        <f>IF(D93="","-",+C134+1)</f>
        <v>2058</v>
      </c>
      <c r="D135" s="63">
        <f>IF(F134+SUM(E$99:E134)=D$92,F134,D$92-SUM(E$99:E134))</f>
        <v>0</v>
      </c>
      <c r="E135" s="69">
        <f t="shared" si="17"/>
        <v>0</v>
      </c>
      <c r="F135" s="68">
        <f t="shared" si="18"/>
        <v>0</v>
      </c>
      <c r="G135" s="68">
        <f t="shared" si="19"/>
        <v>0</v>
      </c>
      <c r="H135" s="130">
        <f t="shared" si="13"/>
        <v>0</v>
      </c>
      <c r="I135" s="139">
        <f t="shared" si="14"/>
        <v>0</v>
      </c>
      <c r="J135" s="67">
        <f t="shared" si="20"/>
        <v>0</v>
      </c>
      <c r="K135" s="478"/>
      <c r="L135" s="487"/>
      <c r="M135" s="478">
        <f t="shared" si="21"/>
        <v>0</v>
      </c>
      <c r="N135" s="487"/>
      <c r="O135" s="478">
        <f t="shared" si="22"/>
        <v>0</v>
      </c>
      <c r="P135" s="478">
        <f t="shared" si="23"/>
        <v>0</v>
      </c>
    </row>
    <row r="136" spans="2:16">
      <c r="B136" s="160" t="str">
        <f t="shared" si="16"/>
        <v/>
      </c>
      <c r="C136" s="472">
        <f>IF(D93="","-",+C135+1)</f>
        <v>2059</v>
      </c>
      <c r="D136" s="63">
        <f>IF(F135+SUM(E$99:E135)=D$92,F135,D$92-SUM(E$99:E135))</f>
        <v>0</v>
      </c>
      <c r="E136" s="69">
        <f t="shared" si="17"/>
        <v>0</v>
      </c>
      <c r="F136" s="68">
        <f t="shared" si="18"/>
        <v>0</v>
      </c>
      <c r="G136" s="68">
        <f t="shared" si="19"/>
        <v>0</v>
      </c>
      <c r="H136" s="130">
        <f t="shared" si="13"/>
        <v>0</v>
      </c>
      <c r="I136" s="139">
        <f t="shared" si="14"/>
        <v>0</v>
      </c>
      <c r="J136" s="67">
        <f t="shared" si="20"/>
        <v>0</v>
      </c>
      <c r="K136" s="478"/>
      <c r="L136" s="487"/>
      <c r="M136" s="478">
        <f t="shared" si="21"/>
        <v>0</v>
      </c>
      <c r="N136" s="487"/>
      <c r="O136" s="478">
        <f t="shared" si="22"/>
        <v>0</v>
      </c>
      <c r="P136" s="478">
        <f t="shared" si="23"/>
        <v>0</v>
      </c>
    </row>
    <row r="137" spans="2:16">
      <c r="B137" s="160" t="str">
        <f t="shared" si="16"/>
        <v/>
      </c>
      <c r="C137" s="472">
        <f>IF(D93="","-",+C136+1)</f>
        <v>2060</v>
      </c>
      <c r="D137" s="63">
        <f>IF(F136+SUM(E$99:E136)=D$92,F136,D$92-SUM(E$99:E136))</f>
        <v>0</v>
      </c>
      <c r="E137" s="69">
        <f t="shared" si="17"/>
        <v>0</v>
      </c>
      <c r="F137" s="68">
        <f t="shared" si="18"/>
        <v>0</v>
      </c>
      <c r="G137" s="68">
        <f t="shared" si="19"/>
        <v>0</v>
      </c>
      <c r="H137" s="130">
        <f t="shared" si="13"/>
        <v>0</v>
      </c>
      <c r="I137" s="139">
        <f t="shared" si="14"/>
        <v>0</v>
      </c>
      <c r="J137" s="67">
        <f t="shared" si="20"/>
        <v>0</v>
      </c>
      <c r="K137" s="478"/>
      <c r="L137" s="487"/>
      <c r="M137" s="478">
        <f t="shared" si="21"/>
        <v>0</v>
      </c>
      <c r="N137" s="487"/>
      <c r="O137" s="478">
        <f t="shared" si="22"/>
        <v>0</v>
      </c>
      <c r="P137" s="478">
        <f t="shared" si="23"/>
        <v>0</v>
      </c>
    </row>
    <row r="138" spans="2:16">
      <c r="B138" s="160" t="str">
        <f t="shared" si="16"/>
        <v/>
      </c>
      <c r="C138" s="472">
        <f>IF(D93="","-",+C137+1)</f>
        <v>2061</v>
      </c>
      <c r="D138" s="63">
        <f>IF(F137+SUM(E$99:E137)=D$92,F137,D$92-SUM(E$99:E137))</f>
        <v>0</v>
      </c>
      <c r="E138" s="69">
        <f t="shared" si="17"/>
        <v>0</v>
      </c>
      <c r="F138" s="68">
        <f t="shared" si="18"/>
        <v>0</v>
      </c>
      <c r="G138" s="68">
        <f t="shared" si="19"/>
        <v>0</v>
      </c>
      <c r="H138" s="130">
        <f t="shared" si="13"/>
        <v>0</v>
      </c>
      <c r="I138" s="139">
        <f t="shared" si="14"/>
        <v>0</v>
      </c>
      <c r="J138" s="67">
        <f t="shared" si="20"/>
        <v>0</v>
      </c>
      <c r="K138" s="478"/>
      <c r="L138" s="487"/>
      <c r="M138" s="478">
        <f t="shared" si="21"/>
        <v>0</v>
      </c>
      <c r="N138" s="487"/>
      <c r="O138" s="478">
        <f t="shared" si="22"/>
        <v>0</v>
      </c>
      <c r="P138" s="478">
        <f t="shared" si="23"/>
        <v>0</v>
      </c>
    </row>
    <row r="139" spans="2:16">
      <c r="B139" s="160" t="str">
        <f t="shared" si="16"/>
        <v/>
      </c>
      <c r="C139" s="472">
        <f>IF(D93="","-",+C138+1)</f>
        <v>2062</v>
      </c>
      <c r="D139" s="63">
        <f>IF(F138+SUM(E$99:E138)=D$92,F138,D$92-SUM(E$99:E138))</f>
        <v>0</v>
      </c>
      <c r="E139" s="69">
        <f t="shared" si="17"/>
        <v>0</v>
      </c>
      <c r="F139" s="68">
        <f t="shared" si="18"/>
        <v>0</v>
      </c>
      <c r="G139" s="68">
        <f t="shared" si="19"/>
        <v>0</v>
      </c>
      <c r="H139" s="130">
        <f t="shared" si="13"/>
        <v>0</v>
      </c>
      <c r="I139" s="139">
        <f t="shared" si="14"/>
        <v>0</v>
      </c>
      <c r="J139" s="67">
        <f t="shared" si="20"/>
        <v>0</v>
      </c>
      <c r="K139" s="478"/>
      <c r="L139" s="487"/>
      <c r="M139" s="478">
        <f t="shared" si="21"/>
        <v>0</v>
      </c>
      <c r="N139" s="487"/>
      <c r="O139" s="478">
        <f t="shared" si="22"/>
        <v>0</v>
      </c>
      <c r="P139" s="478">
        <f t="shared" si="23"/>
        <v>0</v>
      </c>
    </row>
    <row r="140" spans="2:16">
      <c r="B140" s="160" t="str">
        <f t="shared" si="16"/>
        <v/>
      </c>
      <c r="C140" s="472">
        <f>IF(D93="","-",+C139+1)</f>
        <v>2063</v>
      </c>
      <c r="D140" s="63">
        <f>IF(F139+SUM(E$99:E139)=D$92,F139,D$92-SUM(E$99:E139))</f>
        <v>0</v>
      </c>
      <c r="E140" s="69">
        <f t="shared" si="17"/>
        <v>0</v>
      </c>
      <c r="F140" s="68">
        <f t="shared" si="18"/>
        <v>0</v>
      </c>
      <c r="G140" s="68">
        <f t="shared" si="19"/>
        <v>0</v>
      </c>
      <c r="H140" s="130">
        <f t="shared" si="13"/>
        <v>0</v>
      </c>
      <c r="I140" s="139">
        <f t="shared" si="14"/>
        <v>0</v>
      </c>
      <c r="J140" s="67">
        <f t="shared" si="20"/>
        <v>0</v>
      </c>
      <c r="K140" s="478"/>
      <c r="L140" s="487"/>
      <c r="M140" s="478">
        <f t="shared" si="21"/>
        <v>0</v>
      </c>
      <c r="N140" s="487"/>
      <c r="O140" s="478">
        <f t="shared" si="22"/>
        <v>0</v>
      </c>
      <c r="P140" s="478">
        <f t="shared" si="23"/>
        <v>0</v>
      </c>
    </row>
    <row r="141" spans="2:16">
      <c r="B141" s="160" t="str">
        <f t="shared" si="16"/>
        <v/>
      </c>
      <c r="C141" s="472">
        <f>IF(D93="","-",+C140+1)</f>
        <v>2064</v>
      </c>
      <c r="D141" s="63">
        <f>IF(F140+SUM(E$99:E140)=D$92,F140,D$92-SUM(E$99:E140))</f>
        <v>0</v>
      </c>
      <c r="E141" s="69">
        <f t="shared" si="17"/>
        <v>0</v>
      </c>
      <c r="F141" s="68">
        <f t="shared" si="18"/>
        <v>0</v>
      </c>
      <c r="G141" s="68">
        <f t="shared" si="19"/>
        <v>0</v>
      </c>
      <c r="H141" s="130">
        <f t="shared" si="13"/>
        <v>0</v>
      </c>
      <c r="I141" s="139">
        <f t="shared" si="14"/>
        <v>0</v>
      </c>
      <c r="J141" s="67">
        <f t="shared" si="20"/>
        <v>0</v>
      </c>
      <c r="K141" s="478"/>
      <c r="L141" s="487"/>
      <c r="M141" s="478">
        <f t="shared" si="21"/>
        <v>0</v>
      </c>
      <c r="N141" s="487"/>
      <c r="O141" s="478">
        <f t="shared" si="22"/>
        <v>0</v>
      </c>
      <c r="P141" s="478">
        <f t="shared" si="23"/>
        <v>0</v>
      </c>
    </row>
    <row r="142" spans="2:16">
      <c r="B142" s="160" t="str">
        <f t="shared" si="16"/>
        <v/>
      </c>
      <c r="C142" s="472">
        <f>IF(D93="","-",+C141+1)</f>
        <v>2065</v>
      </c>
      <c r="D142" s="63">
        <f>IF(F141+SUM(E$99:E141)=D$92,F141,D$92-SUM(E$99:E141))</f>
        <v>0</v>
      </c>
      <c r="E142" s="69">
        <f t="shared" si="17"/>
        <v>0</v>
      </c>
      <c r="F142" s="68">
        <f t="shared" si="18"/>
        <v>0</v>
      </c>
      <c r="G142" s="68">
        <f t="shared" si="19"/>
        <v>0</v>
      </c>
      <c r="H142" s="130">
        <f t="shared" si="13"/>
        <v>0</v>
      </c>
      <c r="I142" s="139">
        <f t="shared" si="14"/>
        <v>0</v>
      </c>
      <c r="J142" s="67">
        <f t="shared" si="20"/>
        <v>0</v>
      </c>
      <c r="K142" s="478"/>
      <c r="L142" s="487"/>
      <c r="M142" s="478">
        <f t="shared" si="21"/>
        <v>0</v>
      </c>
      <c r="N142" s="487"/>
      <c r="O142" s="478">
        <f t="shared" si="22"/>
        <v>0</v>
      </c>
      <c r="P142" s="478">
        <f t="shared" si="23"/>
        <v>0</v>
      </c>
    </row>
    <row r="143" spans="2:16">
      <c r="B143" s="160" t="str">
        <f t="shared" si="16"/>
        <v/>
      </c>
      <c r="C143" s="472">
        <f>IF(D93="","-",+C142+1)</f>
        <v>2066</v>
      </c>
      <c r="D143" s="63">
        <f>IF(F142+SUM(E$99:E142)=D$92,F142,D$92-SUM(E$99:E142))</f>
        <v>0</v>
      </c>
      <c r="E143" s="69">
        <f t="shared" si="17"/>
        <v>0</v>
      </c>
      <c r="F143" s="68">
        <f t="shared" si="18"/>
        <v>0</v>
      </c>
      <c r="G143" s="68">
        <f t="shared" si="19"/>
        <v>0</v>
      </c>
      <c r="H143" s="130">
        <f t="shared" si="13"/>
        <v>0</v>
      </c>
      <c r="I143" s="139">
        <f t="shared" si="14"/>
        <v>0</v>
      </c>
      <c r="J143" s="67">
        <f t="shared" si="20"/>
        <v>0</v>
      </c>
      <c r="K143" s="478"/>
      <c r="L143" s="487"/>
      <c r="M143" s="478">
        <f t="shared" si="21"/>
        <v>0</v>
      </c>
      <c r="N143" s="487"/>
      <c r="O143" s="478">
        <f t="shared" si="22"/>
        <v>0</v>
      </c>
      <c r="P143" s="478">
        <f t="shared" si="23"/>
        <v>0</v>
      </c>
    </row>
    <row r="144" spans="2:16">
      <c r="B144" s="160" t="str">
        <f t="shared" si="16"/>
        <v/>
      </c>
      <c r="C144" s="472">
        <f>IF(D93="","-",+C143+1)</f>
        <v>2067</v>
      </c>
      <c r="D144" s="63">
        <f>IF(F143+SUM(E$99:E143)=D$92,F143,D$92-SUM(E$99:E143))</f>
        <v>0</v>
      </c>
      <c r="E144" s="69">
        <f t="shared" si="17"/>
        <v>0</v>
      </c>
      <c r="F144" s="68">
        <f t="shared" si="18"/>
        <v>0</v>
      </c>
      <c r="G144" s="68">
        <f t="shared" si="19"/>
        <v>0</v>
      </c>
      <c r="H144" s="130">
        <f t="shared" si="13"/>
        <v>0</v>
      </c>
      <c r="I144" s="139">
        <f t="shared" si="14"/>
        <v>0</v>
      </c>
      <c r="J144" s="67">
        <f t="shared" si="20"/>
        <v>0</v>
      </c>
      <c r="K144" s="478"/>
      <c r="L144" s="487"/>
      <c r="M144" s="478">
        <f t="shared" si="21"/>
        <v>0</v>
      </c>
      <c r="N144" s="487"/>
      <c r="O144" s="478">
        <f t="shared" si="22"/>
        <v>0</v>
      </c>
      <c r="P144" s="478">
        <f t="shared" si="23"/>
        <v>0</v>
      </c>
    </row>
    <row r="145" spans="2:16">
      <c r="B145" s="160" t="str">
        <f t="shared" si="16"/>
        <v/>
      </c>
      <c r="C145" s="472">
        <f>IF(D93="","-",+C144+1)</f>
        <v>2068</v>
      </c>
      <c r="D145" s="63">
        <f>IF(F144+SUM(E$99:E144)=D$92,F144,D$92-SUM(E$99:E144))</f>
        <v>0</v>
      </c>
      <c r="E145" s="69">
        <f t="shared" si="17"/>
        <v>0</v>
      </c>
      <c r="F145" s="68">
        <f t="shared" si="18"/>
        <v>0</v>
      </c>
      <c r="G145" s="68">
        <f t="shared" si="19"/>
        <v>0</v>
      </c>
      <c r="H145" s="130">
        <f t="shared" si="13"/>
        <v>0</v>
      </c>
      <c r="I145" s="139">
        <f t="shared" si="14"/>
        <v>0</v>
      </c>
      <c r="J145" s="67">
        <f t="shared" si="20"/>
        <v>0</v>
      </c>
      <c r="K145" s="478"/>
      <c r="L145" s="487"/>
      <c r="M145" s="478">
        <f t="shared" si="21"/>
        <v>0</v>
      </c>
      <c r="N145" s="487"/>
      <c r="O145" s="478">
        <f t="shared" si="22"/>
        <v>0</v>
      </c>
      <c r="P145" s="478">
        <f t="shared" si="23"/>
        <v>0</v>
      </c>
    </row>
    <row r="146" spans="2:16">
      <c r="B146" s="160" t="str">
        <f t="shared" si="16"/>
        <v/>
      </c>
      <c r="C146" s="472">
        <f>IF(D93="","-",+C145+1)</f>
        <v>2069</v>
      </c>
      <c r="D146" s="63">
        <f>IF(F145+SUM(E$99:E145)=D$92,F145,D$92-SUM(E$99:E145))</f>
        <v>0</v>
      </c>
      <c r="E146" s="69">
        <f t="shared" si="17"/>
        <v>0</v>
      </c>
      <c r="F146" s="68">
        <f t="shared" si="18"/>
        <v>0</v>
      </c>
      <c r="G146" s="68">
        <f t="shared" si="19"/>
        <v>0</v>
      </c>
      <c r="H146" s="130">
        <f t="shared" si="13"/>
        <v>0</v>
      </c>
      <c r="I146" s="139">
        <f t="shared" si="14"/>
        <v>0</v>
      </c>
      <c r="J146" s="67">
        <f t="shared" si="20"/>
        <v>0</v>
      </c>
      <c r="K146" s="478"/>
      <c r="L146" s="487"/>
      <c r="M146" s="478">
        <f t="shared" si="21"/>
        <v>0</v>
      </c>
      <c r="N146" s="487"/>
      <c r="O146" s="478">
        <f t="shared" si="22"/>
        <v>0</v>
      </c>
      <c r="P146" s="478">
        <f t="shared" si="23"/>
        <v>0</v>
      </c>
    </row>
    <row r="147" spans="2:16">
      <c r="B147" s="160" t="str">
        <f t="shared" si="16"/>
        <v/>
      </c>
      <c r="C147" s="472">
        <f>IF(D93="","-",+C146+1)</f>
        <v>2070</v>
      </c>
      <c r="D147" s="63">
        <f>IF(F146+SUM(E$99:E146)=D$92,F146,D$92-SUM(E$99:E146))</f>
        <v>0</v>
      </c>
      <c r="E147" s="69">
        <f t="shared" si="17"/>
        <v>0</v>
      </c>
      <c r="F147" s="68">
        <f t="shared" si="18"/>
        <v>0</v>
      </c>
      <c r="G147" s="68">
        <f t="shared" si="19"/>
        <v>0</v>
      </c>
      <c r="H147" s="130">
        <f t="shared" si="13"/>
        <v>0</v>
      </c>
      <c r="I147" s="139">
        <f t="shared" si="14"/>
        <v>0</v>
      </c>
      <c r="J147" s="67">
        <f t="shared" si="20"/>
        <v>0</v>
      </c>
      <c r="K147" s="478"/>
      <c r="L147" s="487"/>
      <c r="M147" s="478">
        <f t="shared" si="21"/>
        <v>0</v>
      </c>
      <c r="N147" s="487"/>
      <c r="O147" s="478">
        <f t="shared" si="22"/>
        <v>0</v>
      </c>
      <c r="P147" s="478">
        <f t="shared" si="23"/>
        <v>0</v>
      </c>
    </row>
    <row r="148" spans="2:16">
      <c r="B148" s="160" t="str">
        <f t="shared" si="16"/>
        <v/>
      </c>
      <c r="C148" s="472">
        <f>IF(D93="","-",+C147+1)</f>
        <v>2071</v>
      </c>
      <c r="D148" s="63">
        <f>IF(F147+SUM(E$99:E147)=D$92,F147,D$92-SUM(E$99:E147))</f>
        <v>0</v>
      </c>
      <c r="E148" s="69">
        <f t="shared" si="17"/>
        <v>0</v>
      </c>
      <c r="F148" s="68">
        <f t="shared" si="18"/>
        <v>0</v>
      </c>
      <c r="G148" s="68">
        <f t="shared" si="19"/>
        <v>0</v>
      </c>
      <c r="H148" s="130">
        <f t="shared" si="13"/>
        <v>0</v>
      </c>
      <c r="I148" s="139">
        <f t="shared" si="14"/>
        <v>0</v>
      </c>
      <c r="J148" s="67">
        <f t="shared" si="20"/>
        <v>0</v>
      </c>
      <c r="K148" s="478"/>
      <c r="L148" s="487"/>
      <c r="M148" s="478">
        <f t="shared" si="21"/>
        <v>0</v>
      </c>
      <c r="N148" s="487"/>
      <c r="O148" s="478">
        <f t="shared" si="22"/>
        <v>0</v>
      </c>
      <c r="P148" s="478">
        <f t="shared" si="23"/>
        <v>0</v>
      </c>
    </row>
    <row r="149" spans="2:16">
      <c r="B149" s="160" t="str">
        <f t="shared" si="16"/>
        <v/>
      </c>
      <c r="C149" s="472">
        <f>IF(D93="","-",+C148+1)</f>
        <v>2072</v>
      </c>
      <c r="D149" s="63">
        <f>IF(F148+SUM(E$99:E148)=D$92,F148,D$92-SUM(E$99:E148))</f>
        <v>0</v>
      </c>
      <c r="E149" s="69">
        <f t="shared" si="17"/>
        <v>0</v>
      </c>
      <c r="F149" s="68">
        <f t="shared" si="18"/>
        <v>0</v>
      </c>
      <c r="G149" s="68">
        <f t="shared" si="19"/>
        <v>0</v>
      </c>
      <c r="H149" s="130">
        <f t="shared" si="13"/>
        <v>0</v>
      </c>
      <c r="I149" s="139">
        <f t="shared" si="14"/>
        <v>0</v>
      </c>
      <c r="J149" s="67">
        <f t="shared" si="20"/>
        <v>0</v>
      </c>
      <c r="K149" s="478"/>
      <c r="L149" s="487"/>
      <c r="M149" s="478">
        <f t="shared" si="21"/>
        <v>0</v>
      </c>
      <c r="N149" s="487"/>
      <c r="O149" s="478">
        <f t="shared" si="22"/>
        <v>0</v>
      </c>
      <c r="P149" s="478">
        <f t="shared" si="23"/>
        <v>0</v>
      </c>
    </row>
    <row r="150" spans="2:16">
      <c r="B150" s="160" t="str">
        <f t="shared" si="16"/>
        <v/>
      </c>
      <c r="C150" s="472">
        <f>IF(D93="","-",+C149+1)</f>
        <v>2073</v>
      </c>
      <c r="D150" s="63">
        <f>IF(F149+SUM(E$99:E149)=D$92,F149,D$92-SUM(E$99:E149))</f>
        <v>0</v>
      </c>
      <c r="E150" s="69">
        <f t="shared" si="17"/>
        <v>0</v>
      </c>
      <c r="F150" s="68">
        <f t="shared" si="18"/>
        <v>0</v>
      </c>
      <c r="G150" s="68">
        <f t="shared" si="19"/>
        <v>0</v>
      </c>
      <c r="H150" s="130">
        <f t="shared" si="13"/>
        <v>0</v>
      </c>
      <c r="I150" s="139">
        <f t="shared" si="14"/>
        <v>0</v>
      </c>
      <c r="J150" s="67">
        <f t="shared" si="20"/>
        <v>0</v>
      </c>
      <c r="K150" s="478"/>
      <c r="L150" s="487"/>
      <c r="M150" s="478">
        <f t="shared" si="21"/>
        <v>0</v>
      </c>
      <c r="N150" s="487"/>
      <c r="O150" s="478">
        <f t="shared" si="22"/>
        <v>0</v>
      </c>
      <c r="P150" s="478">
        <f t="shared" si="23"/>
        <v>0</v>
      </c>
    </row>
    <row r="151" spans="2:16">
      <c r="B151" s="160" t="str">
        <f t="shared" si="16"/>
        <v/>
      </c>
      <c r="C151" s="472">
        <f>IF(D93="","-",+C150+1)</f>
        <v>2074</v>
      </c>
      <c r="D151" s="63">
        <f>IF(F150+SUM(E$99:E150)=D$92,F150,D$92-SUM(E$99:E150))</f>
        <v>0</v>
      </c>
      <c r="E151" s="69">
        <f t="shared" si="17"/>
        <v>0</v>
      </c>
      <c r="F151" s="68">
        <f t="shared" si="18"/>
        <v>0</v>
      </c>
      <c r="G151" s="68">
        <f t="shared" si="19"/>
        <v>0</v>
      </c>
      <c r="H151" s="130">
        <f t="shared" si="13"/>
        <v>0</v>
      </c>
      <c r="I151" s="139">
        <f t="shared" si="14"/>
        <v>0</v>
      </c>
      <c r="J151" s="67">
        <f t="shared" si="20"/>
        <v>0</v>
      </c>
      <c r="K151" s="478"/>
      <c r="L151" s="487"/>
      <c r="M151" s="478">
        <f t="shared" si="21"/>
        <v>0</v>
      </c>
      <c r="N151" s="487"/>
      <c r="O151" s="478">
        <f t="shared" si="22"/>
        <v>0</v>
      </c>
      <c r="P151" s="478">
        <f t="shared" si="23"/>
        <v>0</v>
      </c>
    </row>
    <row r="152" spans="2:16">
      <c r="B152" s="160" t="str">
        <f t="shared" si="16"/>
        <v/>
      </c>
      <c r="C152" s="472">
        <f>IF(D93="","-",+C151+1)</f>
        <v>2075</v>
      </c>
      <c r="D152" s="63">
        <f>IF(F151+SUM(E$99:E151)=D$92,F151,D$92-SUM(E$99:E151))</f>
        <v>0</v>
      </c>
      <c r="E152" s="69">
        <f t="shared" si="17"/>
        <v>0</v>
      </c>
      <c r="F152" s="68">
        <f t="shared" si="18"/>
        <v>0</v>
      </c>
      <c r="G152" s="68">
        <f t="shared" si="19"/>
        <v>0</v>
      </c>
      <c r="H152" s="130">
        <f t="shared" si="13"/>
        <v>0</v>
      </c>
      <c r="I152" s="139">
        <f t="shared" si="14"/>
        <v>0</v>
      </c>
      <c r="J152" s="67">
        <f t="shared" si="20"/>
        <v>0</v>
      </c>
      <c r="K152" s="478"/>
      <c r="L152" s="487"/>
      <c r="M152" s="478">
        <f t="shared" si="21"/>
        <v>0</v>
      </c>
      <c r="N152" s="487"/>
      <c r="O152" s="478">
        <f t="shared" si="22"/>
        <v>0</v>
      </c>
      <c r="P152" s="478">
        <f t="shared" si="23"/>
        <v>0</v>
      </c>
    </row>
    <row r="153" spans="2:16">
      <c r="B153" s="160" t="str">
        <f t="shared" si="16"/>
        <v/>
      </c>
      <c r="C153" s="472">
        <f>IF(D93="","-",+C152+1)</f>
        <v>2076</v>
      </c>
      <c r="D153" s="63">
        <f>IF(F152+SUM(E$99:E152)=D$92,F152,D$92-SUM(E$99:E152))</f>
        <v>0</v>
      </c>
      <c r="E153" s="69">
        <f t="shared" si="17"/>
        <v>0</v>
      </c>
      <c r="F153" s="68">
        <f t="shared" si="18"/>
        <v>0</v>
      </c>
      <c r="G153" s="68">
        <f t="shared" si="19"/>
        <v>0</v>
      </c>
      <c r="H153" s="130">
        <f t="shared" si="13"/>
        <v>0</v>
      </c>
      <c r="I153" s="139">
        <f t="shared" si="14"/>
        <v>0</v>
      </c>
      <c r="J153" s="67">
        <f t="shared" si="20"/>
        <v>0</v>
      </c>
      <c r="K153" s="478"/>
      <c r="L153" s="487"/>
      <c r="M153" s="478">
        <f t="shared" si="21"/>
        <v>0</v>
      </c>
      <c r="N153" s="487"/>
      <c r="O153" s="478">
        <f t="shared" si="22"/>
        <v>0</v>
      </c>
      <c r="P153" s="478">
        <f t="shared" si="23"/>
        <v>0</v>
      </c>
    </row>
    <row r="154" spans="2:16" ht="13.5" thickBot="1">
      <c r="B154" s="160" t="str">
        <f t="shared" si="16"/>
        <v/>
      </c>
      <c r="C154" s="489">
        <f>IF(D93="","-",+C153+1)</f>
        <v>2077</v>
      </c>
      <c r="D154" s="98">
        <f>IF(F153+SUM(E$99:E153)=D$92,F153,D$92-SUM(E$99:E153))</f>
        <v>0</v>
      </c>
      <c r="E154" s="74">
        <f t="shared" si="17"/>
        <v>0</v>
      </c>
      <c r="F154" s="73">
        <f t="shared" si="18"/>
        <v>0</v>
      </c>
      <c r="G154" s="73">
        <f t="shared" si="19"/>
        <v>0</v>
      </c>
      <c r="H154" s="140">
        <f t="shared" si="13"/>
        <v>0</v>
      </c>
      <c r="I154" s="141">
        <f t="shared" si="14"/>
        <v>0</v>
      </c>
      <c r="J154" s="76">
        <f t="shared" si="20"/>
        <v>0</v>
      </c>
      <c r="K154" s="478"/>
      <c r="L154" s="494"/>
      <c r="M154" s="495">
        <f t="shared" si="21"/>
        <v>0</v>
      </c>
      <c r="N154" s="494"/>
      <c r="O154" s="495">
        <f t="shared" si="22"/>
        <v>0</v>
      </c>
      <c r="P154" s="495">
        <f t="shared" si="23"/>
        <v>0</v>
      </c>
    </row>
    <row r="155" spans="2:16">
      <c r="C155" s="346" t="s">
        <v>77</v>
      </c>
      <c r="D155" s="347"/>
      <c r="E155" s="347">
        <f>SUM(E99:E154)</f>
        <v>0</v>
      </c>
      <c r="F155" s="347"/>
      <c r="G155" s="347"/>
      <c r="H155" s="347">
        <f>SUM(H99:H154)</f>
        <v>0</v>
      </c>
      <c r="I155" s="347">
        <f>SUM(I99:I154)</f>
        <v>0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5" priority="1" stopIfTrue="1" operator="equal">
      <formula>$I$10</formula>
    </cfRule>
  </conditionalFormatting>
  <conditionalFormatting sqref="C99:C154">
    <cfRule type="cellIs" dxfId="4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80" zoomScaleNormal="80" workbookViewId="0"/>
  </sheetViews>
  <sheetFormatPr defaultColWidth="8.7109375" defaultRowHeight="12.75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"&amp;RIGHT(MID(CELL("filename",$A$1),FIND("]",CELL("filename",$A$1))+1,256),2)&amp;" of "&amp;COUNT('P.001:P.xyz - blank'!$P$3)-1</f>
        <v>PSO Project 31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3024.2132561392209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3024.2132561392209</v>
      </c>
      <c r="O6" s="232"/>
      <c r="P6" s="232"/>
    </row>
    <row r="7" spans="1:16" ht="13.5" thickBot="1">
      <c r="C7" s="431" t="s">
        <v>46</v>
      </c>
      <c r="D7" s="622" t="s">
        <v>368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627"/>
      <c r="K8" s="438"/>
      <c r="L8" s="438"/>
      <c r="M8" s="438"/>
      <c r="N8" s="438"/>
      <c r="O8" s="627"/>
      <c r="P8" s="311"/>
    </row>
    <row r="9" spans="1:16" ht="13.5" thickBot="1">
      <c r="C9" s="440" t="s">
        <v>48</v>
      </c>
      <c r="D9" s="441" t="s">
        <v>369</v>
      </c>
      <c r="E9" s="623" t="s">
        <v>370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56102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2022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1335.7619047619048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2022</v>
      </c>
      <c r="D17" s="63">
        <v>0</v>
      </c>
      <c r="E17" s="64">
        <f>IF(D10&gt;=100000,I$14/12*(12-D12),0)</f>
        <v>0</v>
      </c>
      <c r="F17" s="68">
        <f>IF(D11=C17,+D10-E17,+D17-E17)</f>
        <v>56102</v>
      </c>
      <c r="G17" s="64">
        <f>(D17+F17)/2*I$12+E17</f>
        <v>3024.2132561392209</v>
      </c>
      <c r="H17" s="52">
        <f>+(D17+F17)/2*I$13+E17</f>
        <v>3024.2132561392209</v>
      </c>
      <c r="I17" s="65">
        <f>H17-G17</f>
        <v>0</v>
      </c>
      <c r="J17" s="475"/>
      <c r="K17" s="554">
        <f>+G17</f>
        <v>3024.2132561392209</v>
      </c>
      <c r="L17" s="477">
        <f t="shared" ref="L17:L72" si="0">IF(K17&lt;&gt;0,+G17-K17,0)</f>
        <v>0</v>
      </c>
      <c r="M17" s="554">
        <f>+H17</f>
        <v>3024.2132561392209</v>
      </c>
      <c r="N17" s="477">
        <f t="shared" ref="N17:N72" si="1">IF(M17&lt;&gt;0,+H17-M17,0)</f>
        <v>0</v>
      </c>
      <c r="O17" s="478">
        <f t="shared" ref="O17:O72" si="2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2023</v>
      </c>
      <c r="D18" s="71">
        <f>IF(F17+SUM(E$17:E17)=D$10,F17,D$10-SUM(E$17:E17))</f>
        <v>56102</v>
      </c>
      <c r="E18" s="69">
        <f>IF(+I$14&lt;F17,I$14,D18)</f>
        <v>1335.7619047619048</v>
      </c>
      <c r="F18" s="68">
        <f>+D18-E18</f>
        <v>54766.238095238092</v>
      </c>
      <c r="G18" s="70">
        <f>(D18+F18)/2*I$12+E18</f>
        <v>7312.1833395132217</v>
      </c>
      <c r="H18" s="52">
        <f>+(D18+F18)/2*I$13+E18</f>
        <v>7312.1833395132217</v>
      </c>
      <c r="I18" s="65">
        <f>H18-G18</f>
        <v>0</v>
      </c>
      <c r="J18" s="475"/>
      <c r="K18" s="487"/>
      <c r="L18" s="478">
        <f t="shared" ref="L18" si="3">IF(K18&lt;&gt;0,+G18-K18,0)</f>
        <v>0</v>
      </c>
      <c r="M18" s="487"/>
      <c r="N18" s="478">
        <f t="shared" ref="N18" si="4">IF(M18&lt;&gt;0,+H18-M18,0)</f>
        <v>0</v>
      </c>
      <c r="O18" s="478">
        <f t="shared" ref="O18" si="5">+N18-L18</f>
        <v>0</v>
      </c>
      <c r="P18" s="242"/>
    </row>
    <row r="19" spans="2:16">
      <c r="B19" s="160" t="str">
        <f>IF(D19=F18,"","IU")</f>
        <v/>
      </c>
      <c r="C19" s="472">
        <f>IF(D11="","-",+C18+1)</f>
        <v>2024</v>
      </c>
      <c r="D19" s="71">
        <f>IF(F18+SUM(E$17:E18)=D$10,F18,D$10-SUM(E$17:E18))</f>
        <v>54766.238095238092</v>
      </c>
      <c r="E19" s="69">
        <f t="shared" ref="E19:E20" si="6">IF(+I$14&lt;F18,I$14,D19)</f>
        <v>1335.7619047619048</v>
      </c>
      <c r="F19" s="68">
        <f t="shared" ref="F19:F20" si="7">+D19-E19</f>
        <v>53430.476190476184</v>
      </c>
      <c r="G19" s="70">
        <f t="shared" ref="G19:G20" si="8">(D19+F19)/2*I$12+E19</f>
        <v>7168.1731844589731</v>
      </c>
      <c r="H19" s="52">
        <f t="shared" ref="H19:H20" si="9">+(D19+F19)/2*I$13+E19</f>
        <v>7168.1731844589731</v>
      </c>
      <c r="I19" s="65">
        <f t="shared" ref="I19:I20" si="10">H19-G19</f>
        <v>0</v>
      </c>
      <c r="J19" s="475"/>
      <c r="K19" s="487"/>
      <c r="L19" s="478">
        <f t="shared" si="0"/>
        <v>0</v>
      </c>
      <c r="M19" s="487"/>
      <c r="N19" s="478">
        <f t="shared" si="1"/>
        <v>0</v>
      </c>
      <c r="O19" s="478">
        <f t="shared" si="2"/>
        <v>0</v>
      </c>
      <c r="P19" s="242"/>
    </row>
    <row r="20" spans="2:16">
      <c r="B20" s="160" t="str">
        <f t="shared" ref="B20:B72" si="11">IF(D20=F19,"","IU")</f>
        <v/>
      </c>
      <c r="C20" s="472">
        <f>IF(D11="","-",+C19+1)</f>
        <v>2025</v>
      </c>
      <c r="D20" s="71">
        <f>IF(F19+SUM(E$17:E19)=D$10,F19,D$10-SUM(E$17:E19))</f>
        <v>53430.476190476184</v>
      </c>
      <c r="E20" s="69">
        <f t="shared" si="6"/>
        <v>1335.7619047619048</v>
      </c>
      <c r="F20" s="68">
        <f t="shared" si="7"/>
        <v>52094.714285714275</v>
      </c>
      <c r="G20" s="70">
        <f t="shared" si="8"/>
        <v>7024.1630294047236</v>
      </c>
      <c r="H20" s="52">
        <f t="shared" si="9"/>
        <v>7024.1630294047236</v>
      </c>
      <c r="I20" s="65">
        <f t="shared" si="10"/>
        <v>0</v>
      </c>
      <c r="J20" s="475"/>
      <c r="K20" s="487"/>
      <c r="L20" s="478">
        <f t="shared" si="0"/>
        <v>0</v>
      </c>
      <c r="M20" s="487"/>
      <c r="N20" s="478">
        <f t="shared" si="1"/>
        <v>0</v>
      </c>
      <c r="O20" s="478">
        <f t="shared" si="2"/>
        <v>0</v>
      </c>
      <c r="P20" s="242"/>
    </row>
    <row r="21" spans="2:16">
      <c r="B21" s="160" t="str">
        <f t="shared" si="11"/>
        <v/>
      </c>
      <c r="C21" s="472">
        <f>IF(D11="","-",+C20+1)</f>
        <v>2026</v>
      </c>
      <c r="D21" s="483">
        <f>IF(F20+SUM(E$17:E20)=D$10,F20,D$10-SUM(E$17:E20))</f>
        <v>52094.714285714275</v>
      </c>
      <c r="E21" s="484">
        <f t="shared" ref="E21:E71" si="12">IF(+I$14&lt;F20,I$14,D21)</f>
        <v>1335.7619047619048</v>
      </c>
      <c r="F21" s="485">
        <f t="shared" ref="F21:F71" si="13">+D21-E21</f>
        <v>50758.952380952367</v>
      </c>
      <c r="G21" s="486">
        <f t="shared" ref="G21:G71" si="14">(D21+F21)/2*I$12+E21</f>
        <v>6880.152874350475</v>
      </c>
      <c r="H21" s="455">
        <f t="shared" ref="H21:H71" si="15">+(D21+F21)/2*I$13+E21</f>
        <v>6880.152874350475</v>
      </c>
      <c r="I21" s="475">
        <f t="shared" ref="I21:I71" si="16">H21-G21</f>
        <v>0</v>
      </c>
      <c r="J21" s="475"/>
      <c r="K21" s="487"/>
      <c r="L21" s="478">
        <f t="shared" si="0"/>
        <v>0</v>
      </c>
      <c r="M21" s="487"/>
      <c r="N21" s="478">
        <f t="shared" si="1"/>
        <v>0</v>
      </c>
      <c r="O21" s="478">
        <f t="shared" si="2"/>
        <v>0</v>
      </c>
      <c r="P21" s="242"/>
    </row>
    <row r="22" spans="2:16">
      <c r="B22" s="160" t="str">
        <f t="shared" si="11"/>
        <v/>
      </c>
      <c r="C22" s="472">
        <f>IF(D11="","-",+C21+1)</f>
        <v>2027</v>
      </c>
      <c r="D22" s="483">
        <f>IF(F21+SUM(E$17:E21)=D$10,F21,D$10-SUM(E$17:E21))</f>
        <v>50758.952380952367</v>
      </c>
      <c r="E22" s="484">
        <f t="shared" si="12"/>
        <v>1335.7619047619048</v>
      </c>
      <c r="F22" s="485">
        <f t="shared" si="13"/>
        <v>49423.190476190459</v>
      </c>
      <c r="G22" s="486">
        <f t="shared" si="14"/>
        <v>6736.1427192962256</v>
      </c>
      <c r="H22" s="455">
        <f t="shared" si="15"/>
        <v>6736.1427192962256</v>
      </c>
      <c r="I22" s="475">
        <f t="shared" si="16"/>
        <v>0</v>
      </c>
      <c r="J22" s="475"/>
      <c r="K22" s="487"/>
      <c r="L22" s="478">
        <f t="shared" si="0"/>
        <v>0</v>
      </c>
      <c r="M22" s="487"/>
      <c r="N22" s="478">
        <f t="shared" si="1"/>
        <v>0</v>
      </c>
      <c r="O22" s="478">
        <f t="shared" si="2"/>
        <v>0</v>
      </c>
      <c r="P22" s="242"/>
    </row>
    <row r="23" spans="2:16">
      <c r="B23" s="160" t="str">
        <f t="shared" si="11"/>
        <v/>
      </c>
      <c r="C23" s="472">
        <f>IF(D11="","-",+C22+1)</f>
        <v>2028</v>
      </c>
      <c r="D23" s="483">
        <f>IF(F22+SUM(E$17:E22)=D$10,F22,D$10-SUM(E$17:E22))</f>
        <v>49423.190476190459</v>
      </c>
      <c r="E23" s="484">
        <f t="shared" si="12"/>
        <v>1335.7619047619048</v>
      </c>
      <c r="F23" s="485">
        <f t="shared" si="13"/>
        <v>48087.428571428551</v>
      </c>
      <c r="G23" s="486">
        <f t="shared" si="14"/>
        <v>6592.132564241977</v>
      </c>
      <c r="H23" s="455">
        <f t="shared" si="15"/>
        <v>6592.132564241977</v>
      </c>
      <c r="I23" s="475">
        <f t="shared" si="16"/>
        <v>0</v>
      </c>
      <c r="J23" s="475"/>
      <c r="K23" s="487"/>
      <c r="L23" s="478">
        <f t="shared" si="0"/>
        <v>0</v>
      </c>
      <c r="M23" s="487"/>
      <c r="N23" s="478">
        <f t="shared" si="1"/>
        <v>0</v>
      </c>
      <c r="O23" s="478">
        <f t="shared" si="2"/>
        <v>0</v>
      </c>
      <c r="P23" s="242"/>
    </row>
    <row r="24" spans="2:16">
      <c r="B24" s="160" t="str">
        <f t="shared" si="11"/>
        <v/>
      </c>
      <c r="C24" s="472">
        <f>IF(D11="","-",+C23+1)</f>
        <v>2029</v>
      </c>
      <c r="D24" s="483">
        <f>IF(F23+SUM(E$17:E23)=D$10,F23,D$10-SUM(E$17:E23))</f>
        <v>48087.428571428551</v>
      </c>
      <c r="E24" s="484">
        <f t="shared" si="12"/>
        <v>1335.7619047619048</v>
      </c>
      <c r="F24" s="485">
        <f t="shared" si="13"/>
        <v>46751.666666666642</v>
      </c>
      <c r="G24" s="486">
        <f t="shared" si="14"/>
        <v>6448.1224091877275</v>
      </c>
      <c r="H24" s="455">
        <f t="shared" si="15"/>
        <v>6448.1224091877275</v>
      </c>
      <c r="I24" s="475">
        <f t="shared" si="16"/>
        <v>0</v>
      </c>
      <c r="J24" s="475"/>
      <c r="K24" s="487"/>
      <c r="L24" s="478">
        <f t="shared" si="0"/>
        <v>0</v>
      </c>
      <c r="M24" s="487"/>
      <c r="N24" s="478">
        <f t="shared" si="1"/>
        <v>0</v>
      </c>
      <c r="O24" s="478">
        <f t="shared" si="2"/>
        <v>0</v>
      </c>
      <c r="P24" s="242"/>
    </row>
    <row r="25" spans="2:16">
      <c r="B25" s="160" t="str">
        <f t="shared" si="11"/>
        <v/>
      </c>
      <c r="C25" s="472">
        <f>IF(D11="","-",+C24+1)</f>
        <v>2030</v>
      </c>
      <c r="D25" s="483">
        <f>IF(F24+SUM(E$17:E24)=D$10,F24,D$10-SUM(E$17:E24))</f>
        <v>46751.666666666642</v>
      </c>
      <c r="E25" s="484">
        <f t="shared" si="12"/>
        <v>1335.7619047619048</v>
      </c>
      <c r="F25" s="485">
        <f t="shared" si="13"/>
        <v>45415.904761904734</v>
      </c>
      <c r="G25" s="486">
        <f t="shared" si="14"/>
        <v>6304.1122541334789</v>
      </c>
      <c r="H25" s="455">
        <f t="shared" si="15"/>
        <v>6304.1122541334789</v>
      </c>
      <c r="I25" s="475">
        <f t="shared" si="16"/>
        <v>0</v>
      </c>
      <c r="J25" s="475"/>
      <c r="K25" s="487"/>
      <c r="L25" s="478">
        <f t="shared" si="0"/>
        <v>0</v>
      </c>
      <c r="M25" s="487"/>
      <c r="N25" s="478">
        <f t="shared" si="1"/>
        <v>0</v>
      </c>
      <c r="O25" s="478">
        <f t="shared" si="2"/>
        <v>0</v>
      </c>
      <c r="P25" s="242"/>
    </row>
    <row r="26" spans="2:16">
      <c r="B26" s="160" t="str">
        <f t="shared" si="11"/>
        <v/>
      </c>
      <c r="C26" s="472">
        <f>IF(D11="","-",+C25+1)</f>
        <v>2031</v>
      </c>
      <c r="D26" s="483">
        <f>IF(F25+SUM(E$17:E25)=D$10,F25,D$10-SUM(E$17:E25))</f>
        <v>45415.904761904734</v>
      </c>
      <c r="E26" s="484">
        <f t="shared" si="12"/>
        <v>1335.7619047619048</v>
      </c>
      <c r="F26" s="485">
        <f t="shared" si="13"/>
        <v>44080.142857142826</v>
      </c>
      <c r="G26" s="486">
        <f t="shared" si="14"/>
        <v>6160.1020990792294</v>
      </c>
      <c r="H26" s="455">
        <f t="shared" si="15"/>
        <v>6160.1020990792294</v>
      </c>
      <c r="I26" s="475">
        <f t="shared" si="16"/>
        <v>0</v>
      </c>
      <c r="J26" s="475"/>
      <c r="K26" s="487"/>
      <c r="L26" s="478">
        <f t="shared" si="0"/>
        <v>0</v>
      </c>
      <c r="M26" s="487"/>
      <c r="N26" s="478">
        <f t="shared" si="1"/>
        <v>0</v>
      </c>
      <c r="O26" s="478">
        <f t="shared" si="2"/>
        <v>0</v>
      </c>
      <c r="P26" s="242"/>
    </row>
    <row r="27" spans="2:16">
      <c r="B27" s="160" t="str">
        <f t="shared" si="11"/>
        <v/>
      </c>
      <c r="C27" s="472">
        <f>IF(D11="","-",+C26+1)</f>
        <v>2032</v>
      </c>
      <c r="D27" s="483">
        <f>IF(F26+SUM(E$17:E26)=D$10,F26,D$10-SUM(E$17:E26))</f>
        <v>44080.142857142826</v>
      </c>
      <c r="E27" s="484">
        <f t="shared" si="12"/>
        <v>1335.7619047619048</v>
      </c>
      <c r="F27" s="485">
        <f t="shared" si="13"/>
        <v>42744.380952380918</v>
      </c>
      <c r="G27" s="486">
        <f t="shared" si="14"/>
        <v>6016.0919440249809</v>
      </c>
      <c r="H27" s="455">
        <f t="shared" si="15"/>
        <v>6016.0919440249809</v>
      </c>
      <c r="I27" s="475">
        <f t="shared" si="16"/>
        <v>0</v>
      </c>
      <c r="J27" s="475"/>
      <c r="K27" s="487"/>
      <c r="L27" s="478">
        <f t="shared" si="0"/>
        <v>0</v>
      </c>
      <c r="M27" s="487"/>
      <c r="N27" s="478">
        <f t="shared" si="1"/>
        <v>0</v>
      </c>
      <c r="O27" s="478">
        <f t="shared" si="2"/>
        <v>0</v>
      </c>
      <c r="P27" s="242"/>
    </row>
    <row r="28" spans="2:16">
      <c r="B28" s="160" t="str">
        <f t="shared" si="11"/>
        <v/>
      </c>
      <c r="C28" s="472">
        <f>IF(D11="","-",+C27+1)</f>
        <v>2033</v>
      </c>
      <c r="D28" s="483">
        <f>IF(F27+SUM(E$17:E27)=D$10,F27,D$10-SUM(E$17:E27))</f>
        <v>42744.380952380918</v>
      </c>
      <c r="E28" s="484">
        <f t="shared" si="12"/>
        <v>1335.7619047619048</v>
      </c>
      <c r="F28" s="485">
        <f t="shared" si="13"/>
        <v>41408.61904761901</v>
      </c>
      <c r="G28" s="486">
        <f t="shared" si="14"/>
        <v>5872.0817889707323</v>
      </c>
      <c r="H28" s="455">
        <f t="shared" si="15"/>
        <v>5872.0817889707323</v>
      </c>
      <c r="I28" s="475">
        <f t="shared" si="16"/>
        <v>0</v>
      </c>
      <c r="J28" s="475"/>
      <c r="K28" s="487"/>
      <c r="L28" s="478">
        <f t="shared" si="0"/>
        <v>0</v>
      </c>
      <c r="M28" s="487"/>
      <c r="N28" s="478">
        <f t="shared" si="1"/>
        <v>0</v>
      </c>
      <c r="O28" s="478">
        <f t="shared" si="2"/>
        <v>0</v>
      </c>
      <c r="P28" s="242"/>
    </row>
    <row r="29" spans="2:16">
      <c r="B29" s="160" t="str">
        <f t="shared" si="11"/>
        <v/>
      </c>
      <c r="C29" s="472">
        <f>IF(D11="","-",+C28+1)</f>
        <v>2034</v>
      </c>
      <c r="D29" s="483">
        <f>IF(F28+SUM(E$17:E28)=D$10,F28,D$10-SUM(E$17:E28))</f>
        <v>41408.61904761901</v>
      </c>
      <c r="E29" s="484">
        <f t="shared" si="12"/>
        <v>1335.7619047619048</v>
      </c>
      <c r="F29" s="485">
        <f t="shared" si="13"/>
        <v>40072.857142857101</v>
      </c>
      <c r="G29" s="486">
        <f t="shared" si="14"/>
        <v>5728.0716339164828</v>
      </c>
      <c r="H29" s="455">
        <f t="shared" si="15"/>
        <v>5728.0716339164828</v>
      </c>
      <c r="I29" s="475">
        <f t="shared" si="16"/>
        <v>0</v>
      </c>
      <c r="J29" s="475"/>
      <c r="K29" s="487"/>
      <c r="L29" s="478">
        <f t="shared" si="0"/>
        <v>0</v>
      </c>
      <c r="M29" s="487"/>
      <c r="N29" s="478">
        <f t="shared" si="1"/>
        <v>0</v>
      </c>
      <c r="O29" s="478">
        <f t="shared" si="2"/>
        <v>0</v>
      </c>
      <c r="P29" s="242"/>
    </row>
    <row r="30" spans="2:16">
      <c r="B30" s="160" t="str">
        <f t="shared" si="11"/>
        <v/>
      </c>
      <c r="C30" s="472">
        <f>IF(D11="","-",+C29+1)</f>
        <v>2035</v>
      </c>
      <c r="D30" s="483">
        <f>IF(F29+SUM(E$17:E29)=D$10,F29,D$10-SUM(E$17:E29))</f>
        <v>40072.857142857101</v>
      </c>
      <c r="E30" s="484">
        <f t="shared" si="12"/>
        <v>1335.7619047619048</v>
      </c>
      <c r="F30" s="485">
        <f t="shared" si="13"/>
        <v>38737.095238095193</v>
      </c>
      <c r="G30" s="486">
        <f t="shared" si="14"/>
        <v>5584.0614788622343</v>
      </c>
      <c r="H30" s="455">
        <f t="shared" si="15"/>
        <v>5584.0614788622343</v>
      </c>
      <c r="I30" s="475">
        <f t="shared" si="16"/>
        <v>0</v>
      </c>
      <c r="J30" s="475"/>
      <c r="K30" s="487"/>
      <c r="L30" s="478">
        <f t="shared" si="0"/>
        <v>0</v>
      </c>
      <c r="M30" s="487"/>
      <c r="N30" s="478">
        <f t="shared" si="1"/>
        <v>0</v>
      </c>
      <c r="O30" s="478">
        <f t="shared" si="2"/>
        <v>0</v>
      </c>
      <c r="P30" s="242"/>
    </row>
    <row r="31" spans="2:16">
      <c r="B31" s="160" t="str">
        <f t="shared" si="11"/>
        <v/>
      </c>
      <c r="C31" s="472">
        <f>IF(D11="","-",+C30+1)</f>
        <v>2036</v>
      </c>
      <c r="D31" s="483">
        <f>IF(F30+SUM(E$17:E30)=D$10,F30,D$10-SUM(E$17:E30))</f>
        <v>38737.095238095193</v>
      </c>
      <c r="E31" s="484">
        <f t="shared" si="12"/>
        <v>1335.7619047619048</v>
      </c>
      <c r="F31" s="485">
        <f t="shared" si="13"/>
        <v>37401.333333333285</v>
      </c>
      <c r="G31" s="486">
        <f t="shared" si="14"/>
        <v>5440.0513238079848</v>
      </c>
      <c r="H31" s="455">
        <f t="shared" si="15"/>
        <v>5440.0513238079848</v>
      </c>
      <c r="I31" s="475">
        <f t="shared" si="16"/>
        <v>0</v>
      </c>
      <c r="J31" s="475"/>
      <c r="K31" s="487"/>
      <c r="L31" s="478">
        <f t="shared" si="0"/>
        <v>0</v>
      </c>
      <c r="M31" s="487"/>
      <c r="N31" s="478">
        <f t="shared" si="1"/>
        <v>0</v>
      </c>
      <c r="O31" s="478">
        <f t="shared" si="2"/>
        <v>0</v>
      </c>
      <c r="P31" s="242"/>
    </row>
    <row r="32" spans="2:16">
      <c r="B32" s="160" t="str">
        <f t="shared" si="11"/>
        <v/>
      </c>
      <c r="C32" s="472">
        <f>IF(D11="","-",+C31+1)</f>
        <v>2037</v>
      </c>
      <c r="D32" s="483">
        <f>IF(F31+SUM(E$17:E31)=D$10,F31,D$10-SUM(E$17:E31))</f>
        <v>37401.333333333285</v>
      </c>
      <c r="E32" s="484">
        <f t="shared" si="12"/>
        <v>1335.7619047619048</v>
      </c>
      <c r="F32" s="485">
        <f t="shared" si="13"/>
        <v>36065.571428571377</v>
      </c>
      <c r="G32" s="486">
        <f t="shared" si="14"/>
        <v>5296.0411687537362</v>
      </c>
      <c r="H32" s="455">
        <f t="shared" si="15"/>
        <v>5296.0411687537362</v>
      </c>
      <c r="I32" s="475">
        <f t="shared" si="16"/>
        <v>0</v>
      </c>
      <c r="J32" s="475"/>
      <c r="K32" s="487"/>
      <c r="L32" s="478">
        <f t="shared" si="0"/>
        <v>0</v>
      </c>
      <c r="M32" s="487"/>
      <c r="N32" s="478">
        <f t="shared" si="1"/>
        <v>0</v>
      </c>
      <c r="O32" s="478">
        <f t="shared" si="2"/>
        <v>0</v>
      </c>
      <c r="P32" s="242"/>
    </row>
    <row r="33" spans="2:16">
      <c r="B33" s="160" t="str">
        <f t="shared" si="11"/>
        <v/>
      </c>
      <c r="C33" s="472">
        <f>IF(D11="","-",+C32+1)</f>
        <v>2038</v>
      </c>
      <c r="D33" s="483">
        <f>IF(F32+SUM(E$17:E32)=D$10,F32,D$10-SUM(E$17:E32))</f>
        <v>36065.571428571428</v>
      </c>
      <c r="E33" s="484">
        <f t="shared" si="12"/>
        <v>1335.7619047619048</v>
      </c>
      <c r="F33" s="485">
        <f t="shared" si="13"/>
        <v>34729.809523809519</v>
      </c>
      <c r="G33" s="486">
        <f t="shared" si="14"/>
        <v>5152.0310136994931</v>
      </c>
      <c r="H33" s="455">
        <f t="shared" si="15"/>
        <v>5152.0310136994931</v>
      </c>
      <c r="I33" s="475">
        <f t="shared" si="16"/>
        <v>0</v>
      </c>
      <c r="J33" s="475"/>
      <c r="K33" s="487"/>
      <c r="L33" s="478">
        <f t="shared" si="0"/>
        <v>0</v>
      </c>
      <c r="M33" s="487"/>
      <c r="N33" s="478">
        <f t="shared" si="1"/>
        <v>0</v>
      </c>
      <c r="O33" s="478">
        <f t="shared" si="2"/>
        <v>0</v>
      </c>
      <c r="P33" s="242"/>
    </row>
    <row r="34" spans="2:16">
      <c r="B34" s="160" t="str">
        <f t="shared" si="11"/>
        <v/>
      </c>
      <c r="C34" s="472">
        <f>IF(D11="","-",+C33+1)</f>
        <v>2039</v>
      </c>
      <c r="D34" s="483">
        <f>IF(F33+SUM(E$17:E33)=D$10,F33,D$10-SUM(E$17:E33))</f>
        <v>34729.809523809519</v>
      </c>
      <c r="E34" s="484">
        <f t="shared" si="12"/>
        <v>1335.7619047619048</v>
      </c>
      <c r="F34" s="485">
        <f t="shared" si="13"/>
        <v>33394.047619047611</v>
      </c>
      <c r="G34" s="486">
        <f t="shared" si="14"/>
        <v>5008.0208586452436</v>
      </c>
      <c r="H34" s="455">
        <f t="shared" si="15"/>
        <v>5008.0208586452436</v>
      </c>
      <c r="I34" s="475">
        <f t="shared" si="16"/>
        <v>0</v>
      </c>
      <c r="J34" s="475"/>
      <c r="K34" s="487"/>
      <c r="L34" s="478">
        <f t="shared" si="0"/>
        <v>0</v>
      </c>
      <c r="M34" s="487"/>
      <c r="N34" s="478">
        <f t="shared" si="1"/>
        <v>0</v>
      </c>
      <c r="O34" s="478">
        <f t="shared" si="2"/>
        <v>0</v>
      </c>
      <c r="P34" s="242"/>
    </row>
    <row r="35" spans="2:16">
      <c r="B35" s="160" t="str">
        <f t="shared" si="11"/>
        <v/>
      </c>
      <c r="C35" s="472">
        <f>IF(D11="","-",+C34+1)</f>
        <v>2040</v>
      </c>
      <c r="D35" s="483">
        <f>IF(F34+SUM(E$17:E34)=D$10,F34,D$10-SUM(E$17:E34))</f>
        <v>33394.047619047611</v>
      </c>
      <c r="E35" s="484">
        <f t="shared" si="12"/>
        <v>1335.7619047619048</v>
      </c>
      <c r="F35" s="485">
        <f t="shared" si="13"/>
        <v>32058.285714285706</v>
      </c>
      <c r="G35" s="486">
        <f t="shared" si="14"/>
        <v>4864.010703590995</v>
      </c>
      <c r="H35" s="455">
        <f t="shared" si="15"/>
        <v>4864.010703590995</v>
      </c>
      <c r="I35" s="475">
        <f t="shared" si="16"/>
        <v>0</v>
      </c>
      <c r="J35" s="475"/>
      <c r="K35" s="487"/>
      <c r="L35" s="478">
        <f t="shared" si="0"/>
        <v>0</v>
      </c>
      <c r="M35" s="487"/>
      <c r="N35" s="478">
        <f t="shared" si="1"/>
        <v>0</v>
      </c>
      <c r="O35" s="478">
        <f t="shared" si="2"/>
        <v>0</v>
      </c>
      <c r="P35" s="242"/>
    </row>
    <row r="36" spans="2:16">
      <c r="B36" s="160" t="str">
        <f t="shared" si="11"/>
        <v/>
      </c>
      <c r="C36" s="472">
        <f>IF(D11="","-",+C35+1)</f>
        <v>2041</v>
      </c>
      <c r="D36" s="483">
        <f>IF(F35+SUM(E$17:E35)=D$10,F35,D$10-SUM(E$17:E35))</f>
        <v>32058.285714285706</v>
      </c>
      <c r="E36" s="484">
        <f t="shared" si="12"/>
        <v>1335.7619047619048</v>
      </c>
      <c r="F36" s="485">
        <f t="shared" si="13"/>
        <v>30722.523809523802</v>
      </c>
      <c r="G36" s="486">
        <f t="shared" si="14"/>
        <v>4720.0005485367465</v>
      </c>
      <c r="H36" s="455">
        <f t="shared" si="15"/>
        <v>4720.0005485367465</v>
      </c>
      <c r="I36" s="475">
        <f t="shared" si="16"/>
        <v>0</v>
      </c>
      <c r="J36" s="475"/>
      <c r="K36" s="487"/>
      <c r="L36" s="478">
        <f t="shared" si="0"/>
        <v>0</v>
      </c>
      <c r="M36" s="487"/>
      <c r="N36" s="478">
        <f t="shared" si="1"/>
        <v>0</v>
      </c>
      <c r="O36" s="478">
        <f t="shared" si="2"/>
        <v>0</v>
      </c>
      <c r="P36" s="242"/>
    </row>
    <row r="37" spans="2:16">
      <c r="B37" s="160" t="str">
        <f t="shared" si="11"/>
        <v/>
      </c>
      <c r="C37" s="472">
        <f>IF(D11="","-",+C36+1)</f>
        <v>2042</v>
      </c>
      <c r="D37" s="483">
        <f>IF(F36+SUM(E$17:E36)=D$10,F36,D$10-SUM(E$17:E36))</f>
        <v>30722.523809523802</v>
      </c>
      <c r="E37" s="484">
        <f t="shared" si="12"/>
        <v>1335.7619047619048</v>
      </c>
      <c r="F37" s="485">
        <f t="shared" si="13"/>
        <v>29386.761904761897</v>
      </c>
      <c r="G37" s="486">
        <f t="shared" si="14"/>
        <v>4575.9903934824979</v>
      </c>
      <c r="H37" s="455">
        <f t="shared" si="15"/>
        <v>4575.9903934824979</v>
      </c>
      <c r="I37" s="475">
        <f t="shared" si="16"/>
        <v>0</v>
      </c>
      <c r="J37" s="475"/>
      <c r="K37" s="487"/>
      <c r="L37" s="478">
        <f t="shared" si="0"/>
        <v>0</v>
      </c>
      <c r="M37" s="487"/>
      <c r="N37" s="478">
        <f t="shared" si="1"/>
        <v>0</v>
      </c>
      <c r="O37" s="478">
        <f t="shared" si="2"/>
        <v>0</v>
      </c>
      <c r="P37" s="242"/>
    </row>
    <row r="38" spans="2:16">
      <c r="B38" s="160" t="str">
        <f t="shared" si="11"/>
        <v/>
      </c>
      <c r="C38" s="472">
        <f>IF(D11="","-",+C37+1)</f>
        <v>2043</v>
      </c>
      <c r="D38" s="483">
        <f>IF(F37+SUM(E$17:E37)=D$10,F37,D$10-SUM(E$17:E37))</f>
        <v>29386.761904761897</v>
      </c>
      <c r="E38" s="484">
        <f t="shared" si="12"/>
        <v>1335.7619047619048</v>
      </c>
      <c r="F38" s="485">
        <f t="shared" si="13"/>
        <v>28050.999999999993</v>
      </c>
      <c r="G38" s="486">
        <f t="shared" si="14"/>
        <v>4431.9802384282493</v>
      </c>
      <c r="H38" s="455">
        <f t="shared" si="15"/>
        <v>4431.9802384282493</v>
      </c>
      <c r="I38" s="475">
        <f t="shared" si="16"/>
        <v>0</v>
      </c>
      <c r="J38" s="475"/>
      <c r="K38" s="487"/>
      <c r="L38" s="478">
        <f t="shared" si="0"/>
        <v>0</v>
      </c>
      <c r="M38" s="487"/>
      <c r="N38" s="478">
        <f t="shared" si="1"/>
        <v>0</v>
      </c>
      <c r="O38" s="478">
        <f t="shared" si="2"/>
        <v>0</v>
      </c>
      <c r="P38" s="242"/>
    </row>
    <row r="39" spans="2:16">
      <c r="B39" s="160" t="str">
        <f t="shared" si="11"/>
        <v/>
      </c>
      <c r="C39" s="472">
        <f>IF(D11="","-",+C38+1)</f>
        <v>2044</v>
      </c>
      <c r="D39" s="483">
        <f>IF(F38+SUM(E$17:E38)=D$10,F38,D$10-SUM(E$17:E38))</f>
        <v>28050.999999999993</v>
      </c>
      <c r="E39" s="484">
        <f t="shared" si="12"/>
        <v>1335.7619047619048</v>
      </c>
      <c r="F39" s="485">
        <f t="shared" si="13"/>
        <v>26715.238095238088</v>
      </c>
      <c r="G39" s="486">
        <f t="shared" si="14"/>
        <v>4287.9700833740008</v>
      </c>
      <c r="H39" s="455">
        <f t="shared" si="15"/>
        <v>4287.9700833740008</v>
      </c>
      <c r="I39" s="475">
        <f t="shared" si="16"/>
        <v>0</v>
      </c>
      <c r="J39" s="475"/>
      <c r="K39" s="487"/>
      <c r="L39" s="478">
        <f t="shared" si="0"/>
        <v>0</v>
      </c>
      <c r="M39" s="487"/>
      <c r="N39" s="478">
        <f t="shared" si="1"/>
        <v>0</v>
      </c>
      <c r="O39" s="478">
        <f t="shared" si="2"/>
        <v>0</v>
      </c>
      <c r="P39" s="242"/>
    </row>
    <row r="40" spans="2:16">
      <c r="B40" s="160" t="str">
        <f t="shared" si="11"/>
        <v/>
      </c>
      <c r="C40" s="472">
        <f>IF(D11="","-",+C39+1)</f>
        <v>2045</v>
      </c>
      <c r="D40" s="483">
        <f>IF(F39+SUM(E$17:E39)=D$10,F39,D$10-SUM(E$17:E39))</f>
        <v>26715.238095238088</v>
      </c>
      <c r="E40" s="484">
        <f t="shared" si="12"/>
        <v>1335.7619047619048</v>
      </c>
      <c r="F40" s="485">
        <f t="shared" si="13"/>
        <v>25379.476190476184</v>
      </c>
      <c r="G40" s="486">
        <f t="shared" si="14"/>
        <v>4143.9599283197522</v>
      </c>
      <c r="H40" s="455">
        <f t="shared" si="15"/>
        <v>4143.9599283197522</v>
      </c>
      <c r="I40" s="475">
        <f t="shared" si="16"/>
        <v>0</v>
      </c>
      <c r="J40" s="475"/>
      <c r="K40" s="487"/>
      <c r="L40" s="478">
        <f t="shared" si="0"/>
        <v>0</v>
      </c>
      <c r="M40" s="487"/>
      <c r="N40" s="478">
        <f t="shared" si="1"/>
        <v>0</v>
      </c>
      <c r="O40" s="478">
        <f t="shared" si="2"/>
        <v>0</v>
      </c>
      <c r="P40" s="242"/>
    </row>
    <row r="41" spans="2:16">
      <c r="B41" s="160" t="str">
        <f t="shared" si="11"/>
        <v/>
      </c>
      <c r="C41" s="472">
        <f>IF(D11="","-",+C40+1)</f>
        <v>2046</v>
      </c>
      <c r="D41" s="483">
        <f>IF(F40+SUM(E$17:E40)=D$10,F40,D$10-SUM(E$17:E40))</f>
        <v>25379.476190476184</v>
      </c>
      <c r="E41" s="484">
        <f t="shared" si="12"/>
        <v>1335.7619047619048</v>
      </c>
      <c r="F41" s="485">
        <f t="shared" si="13"/>
        <v>24043.714285714279</v>
      </c>
      <c r="G41" s="486">
        <f t="shared" si="14"/>
        <v>3999.9497732655036</v>
      </c>
      <c r="H41" s="455">
        <f t="shared" si="15"/>
        <v>3999.9497732655036</v>
      </c>
      <c r="I41" s="475">
        <f t="shared" si="16"/>
        <v>0</v>
      </c>
      <c r="J41" s="475"/>
      <c r="K41" s="487"/>
      <c r="L41" s="478">
        <f t="shared" si="0"/>
        <v>0</v>
      </c>
      <c r="M41" s="487"/>
      <c r="N41" s="478">
        <f t="shared" si="1"/>
        <v>0</v>
      </c>
      <c r="O41" s="478">
        <f t="shared" si="2"/>
        <v>0</v>
      </c>
      <c r="P41" s="242"/>
    </row>
    <row r="42" spans="2:16">
      <c r="B42" s="160" t="str">
        <f t="shared" si="11"/>
        <v/>
      </c>
      <c r="C42" s="472">
        <f>IF(D11="","-",+C41+1)</f>
        <v>2047</v>
      </c>
      <c r="D42" s="483">
        <f>IF(F41+SUM(E$17:E41)=D$10,F41,D$10-SUM(E$17:E41))</f>
        <v>24043.714285714279</v>
      </c>
      <c r="E42" s="484">
        <f t="shared" si="12"/>
        <v>1335.7619047619048</v>
      </c>
      <c r="F42" s="485">
        <f t="shared" si="13"/>
        <v>22707.952380952374</v>
      </c>
      <c r="G42" s="486">
        <f t="shared" si="14"/>
        <v>3855.939618211255</v>
      </c>
      <c r="H42" s="455">
        <f t="shared" si="15"/>
        <v>3855.939618211255</v>
      </c>
      <c r="I42" s="475">
        <f t="shared" si="16"/>
        <v>0</v>
      </c>
      <c r="J42" s="475"/>
      <c r="K42" s="487"/>
      <c r="L42" s="478">
        <f t="shared" si="0"/>
        <v>0</v>
      </c>
      <c r="M42" s="487"/>
      <c r="N42" s="478">
        <f t="shared" si="1"/>
        <v>0</v>
      </c>
      <c r="O42" s="478">
        <f t="shared" si="2"/>
        <v>0</v>
      </c>
      <c r="P42" s="242"/>
    </row>
    <row r="43" spans="2:16">
      <c r="B43" s="160" t="str">
        <f t="shared" si="11"/>
        <v/>
      </c>
      <c r="C43" s="472">
        <f>IF(D11="","-",+C42+1)</f>
        <v>2048</v>
      </c>
      <c r="D43" s="483">
        <f>IF(F42+SUM(E$17:E42)=D$10,F42,D$10-SUM(E$17:E42))</f>
        <v>22707.952380952374</v>
      </c>
      <c r="E43" s="484">
        <f t="shared" si="12"/>
        <v>1335.7619047619048</v>
      </c>
      <c r="F43" s="485">
        <f t="shared" si="13"/>
        <v>21372.19047619047</v>
      </c>
      <c r="G43" s="486">
        <f t="shared" si="14"/>
        <v>3711.9294631570056</v>
      </c>
      <c r="H43" s="455">
        <f t="shared" si="15"/>
        <v>3711.9294631570056</v>
      </c>
      <c r="I43" s="475">
        <f t="shared" si="16"/>
        <v>0</v>
      </c>
      <c r="J43" s="475"/>
      <c r="K43" s="487"/>
      <c r="L43" s="478">
        <f t="shared" si="0"/>
        <v>0</v>
      </c>
      <c r="M43" s="487"/>
      <c r="N43" s="478">
        <f t="shared" si="1"/>
        <v>0</v>
      </c>
      <c r="O43" s="478">
        <f t="shared" si="2"/>
        <v>0</v>
      </c>
      <c r="P43" s="242"/>
    </row>
    <row r="44" spans="2:16">
      <c r="B44" s="160" t="str">
        <f t="shared" si="11"/>
        <v/>
      </c>
      <c r="C44" s="472">
        <f>IF(D11="","-",+C43+1)</f>
        <v>2049</v>
      </c>
      <c r="D44" s="483">
        <f>IF(F43+SUM(E$17:E43)=D$10,F43,D$10-SUM(E$17:E43))</f>
        <v>21372.19047619047</v>
      </c>
      <c r="E44" s="484">
        <f t="shared" si="12"/>
        <v>1335.7619047619048</v>
      </c>
      <c r="F44" s="485">
        <f t="shared" si="13"/>
        <v>20036.428571428565</v>
      </c>
      <c r="G44" s="486">
        <f t="shared" si="14"/>
        <v>3567.9193081027579</v>
      </c>
      <c r="H44" s="455">
        <f t="shared" si="15"/>
        <v>3567.9193081027579</v>
      </c>
      <c r="I44" s="475">
        <f t="shared" si="16"/>
        <v>0</v>
      </c>
      <c r="J44" s="475"/>
      <c r="K44" s="487"/>
      <c r="L44" s="478">
        <f t="shared" si="0"/>
        <v>0</v>
      </c>
      <c r="M44" s="487"/>
      <c r="N44" s="478">
        <f t="shared" si="1"/>
        <v>0</v>
      </c>
      <c r="O44" s="478">
        <f t="shared" si="2"/>
        <v>0</v>
      </c>
      <c r="P44" s="242"/>
    </row>
    <row r="45" spans="2:16">
      <c r="B45" s="160" t="str">
        <f t="shared" si="11"/>
        <v/>
      </c>
      <c r="C45" s="472">
        <f>IF(D11="","-",+C44+1)</f>
        <v>2050</v>
      </c>
      <c r="D45" s="483">
        <f>IF(F44+SUM(E$17:E44)=D$10,F44,D$10-SUM(E$17:E44))</f>
        <v>20036.428571428565</v>
      </c>
      <c r="E45" s="484">
        <f t="shared" si="12"/>
        <v>1335.7619047619048</v>
      </c>
      <c r="F45" s="485">
        <f t="shared" si="13"/>
        <v>18700.666666666661</v>
      </c>
      <c r="G45" s="486">
        <f t="shared" si="14"/>
        <v>3423.9091530485084</v>
      </c>
      <c r="H45" s="455">
        <f t="shared" si="15"/>
        <v>3423.9091530485084</v>
      </c>
      <c r="I45" s="475">
        <f t="shared" si="16"/>
        <v>0</v>
      </c>
      <c r="J45" s="475"/>
      <c r="K45" s="487"/>
      <c r="L45" s="478">
        <f t="shared" si="0"/>
        <v>0</v>
      </c>
      <c r="M45" s="487"/>
      <c r="N45" s="478">
        <f t="shared" si="1"/>
        <v>0</v>
      </c>
      <c r="O45" s="478">
        <f t="shared" si="2"/>
        <v>0</v>
      </c>
      <c r="P45" s="242"/>
    </row>
    <row r="46" spans="2:16">
      <c r="B46" s="160" t="str">
        <f t="shared" si="11"/>
        <v/>
      </c>
      <c r="C46" s="472">
        <f>IF(D11="","-",+C45+1)</f>
        <v>2051</v>
      </c>
      <c r="D46" s="483">
        <f>IF(F45+SUM(E$17:E45)=D$10,F45,D$10-SUM(E$17:E45))</f>
        <v>18700.666666666661</v>
      </c>
      <c r="E46" s="484">
        <f t="shared" si="12"/>
        <v>1335.7619047619048</v>
      </c>
      <c r="F46" s="485">
        <f t="shared" si="13"/>
        <v>17364.904761904756</v>
      </c>
      <c r="G46" s="486">
        <f t="shared" si="14"/>
        <v>3279.8989979942608</v>
      </c>
      <c r="H46" s="455">
        <f t="shared" si="15"/>
        <v>3279.8989979942608</v>
      </c>
      <c r="I46" s="475">
        <f t="shared" si="16"/>
        <v>0</v>
      </c>
      <c r="J46" s="475"/>
      <c r="K46" s="487"/>
      <c r="L46" s="478">
        <f t="shared" si="0"/>
        <v>0</v>
      </c>
      <c r="M46" s="487"/>
      <c r="N46" s="478">
        <f t="shared" si="1"/>
        <v>0</v>
      </c>
      <c r="O46" s="478">
        <f t="shared" si="2"/>
        <v>0</v>
      </c>
      <c r="P46" s="242"/>
    </row>
    <row r="47" spans="2:16">
      <c r="B47" s="160" t="str">
        <f t="shared" si="11"/>
        <v/>
      </c>
      <c r="C47" s="472">
        <f>IF(D11="","-",+C46+1)</f>
        <v>2052</v>
      </c>
      <c r="D47" s="483">
        <f>IF(F46+SUM(E$17:E46)=D$10,F46,D$10-SUM(E$17:E46))</f>
        <v>17364.904761904756</v>
      </c>
      <c r="E47" s="484">
        <f t="shared" si="12"/>
        <v>1335.7619047619048</v>
      </c>
      <c r="F47" s="485">
        <f t="shared" si="13"/>
        <v>16029.142857142851</v>
      </c>
      <c r="G47" s="486">
        <f t="shared" si="14"/>
        <v>3135.8888429400117</v>
      </c>
      <c r="H47" s="455">
        <f t="shared" si="15"/>
        <v>3135.8888429400117</v>
      </c>
      <c r="I47" s="475">
        <f t="shared" si="16"/>
        <v>0</v>
      </c>
      <c r="J47" s="475"/>
      <c r="K47" s="487"/>
      <c r="L47" s="478">
        <f t="shared" si="0"/>
        <v>0</v>
      </c>
      <c r="M47" s="487"/>
      <c r="N47" s="478">
        <f t="shared" si="1"/>
        <v>0</v>
      </c>
      <c r="O47" s="478">
        <f t="shared" si="2"/>
        <v>0</v>
      </c>
      <c r="P47" s="242"/>
    </row>
    <row r="48" spans="2:16">
      <c r="B48" s="160" t="str">
        <f t="shared" si="11"/>
        <v/>
      </c>
      <c r="C48" s="472">
        <f>IF(D11="","-",+C47+1)</f>
        <v>2053</v>
      </c>
      <c r="D48" s="483">
        <f>IF(F47+SUM(E$17:E47)=D$10,F47,D$10-SUM(E$17:E47))</f>
        <v>16029.142857142851</v>
      </c>
      <c r="E48" s="484">
        <f t="shared" si="12"/>
        <v>1335.7619047619048</v>
      </c>
      <c r="F48" s="485">
        <f t="shared" si="13"/>
        <v>14693.380952380947</v>
      </c>
      <c r="G48" s="486">
        <f t="shared" si="14"/>
        <v>2991.8786878857632</v>
      </c>
      <c r="H48" s="455">
        <f t="shared" si="15"/>
        <v>2991.8786878857632</v>
      </c>
      <c r="I48" s="475">
        <f t="shared" si="16"/>
        <v>0</v>
      </c>
      <c r="J48" s="475"/>
      <c r="K48" s="487"/>
      <c r="L48" s="478">
        <f t="shared" si="0"/>
        <v>0</v>
      </c>
      <c r="M48" s="487"/>
      <c r="N48" s="478">
        <f t="shared" si="1"/>
        <v>0</v>
      </c>
      <c r="O48" s="478">
        <f t="shared" si="2"/>
        <v>0</v>
      </c>
      <c r="P48" s="242"/>
    </row>
    <row r="49" spans="2:16">
      <c r="B49" s="160" t="str">
        <f t="shared" si="11"/>
        <v/>
      </c>
      <c r="C49" s="472">
        <f>IF(D11="","-",+C48+1)</f>
        <v>2054</v>
      </c>
      <c r="D49" s="483">
        <f>IF(F48+SUM(E$17:E48)=D$10,F48,D$10-SUM(E$17:E48))</f>
        <v>14693.380952380947</v>
      </c>
      <c r="E49" s="484">
        <f t="shared" si="12"/>
        <v>1335.7619047619048</v>
      </c>
      <c r="F49" s="485">
        <f t="shared" si="13"/>
        <v>13357.619047619042</v>
      </c>
      <c r="G49" s="486">
        <f t="shared" si="14"/>
        <v>2847.8685328315146</v>
      </c>
      <c r="H49" s="455">
        <f t="shared" si="15"/>
        <v>2847.8685328315146</v>
      </c>
      <c r="I49" s="475">
        <f t="shared" si="16"/>
        <v>0</v>
      </c>
      <c r="J49" s="475"/>
      <c r="K49" s="487"/>
      <c r="L49" s="478">
        <f t="shared" si="0"/>
        <v>0</v>
      </c>
      <c r="M49" s="487"/>
      <c r="N49" s="478">
        <f t="shared" si="1"/>
        <v>0</v>
      </c>
      <c r="O49" s="478">
        <f t="shared" si="2"/>
        <v>0</v>
      </c>
      <c r="P49" s="242"/>
    </row>
    <row r="50" spans="2:16">
      <c r="B50" s="160" t="str">
        <f t="shared" si="11"/>
        <v/>
      </c>
      <c r="C50" s="472">
        <f>IF(D11="","-",+C49+1)</f>
        <v>2055</v>
      </c>
      <c r="D50" s="483">
        <f>IF(F49+SUM(E$17:E49)=D$10,F49,D$10-SUM(E$17:E49))</f>
        <v>13357.619047619042</v>
      </c>
      <c r="E50" s="484">
        <f t="shared" si="12"/>
        <v>1335.7619047619048</v>
      </c>
      <c r="F50" s="485">
        <f t="shared" si="13"/>
        <v>12021.857142857138</v>
      </c>
      <c r="G50" s="486">
        <f t="shared" si="14"/>
        <v>2703.858377777266</v>
      </c>
      <c r="H50" s="455">
        <f t="shared" si="15"/>
        <v>2703.858377777266</v>
      </c>
      <c r="I50" s="475">
        <f t="shared" si="16"/>
        <v>0</v>
      </c>
      <c r="J50" s="475"/>
      <c r="K50" s="487"/>
      <c r="L50" s="478">
        <f t="shared" si="0"/>
        <v>0</v>
      </c>
      <c r="M50" s="487"/>
      <c r="N50" s="478">
        <f t="shared" si="1"/>
        <v>0</v>
      </c>
      <c r="O50" s="478">
        <f t="shared" si="2"/>
        <v>0</v>
      </c>
      <c r="P50" s="242"/>
    </row>
    <row r="51" spans="2:16">
      <c r="B51" s="160" t="str">
        <f t="shared" si="11"/>
        <v/>
      </c>
      <c r="C51" s="472">
        <f>IF(D11="","-",+C50+1)</f>
        <v>2056</v>
      </c>
      <c r="D51" s="483">
        <f>IF(F50+SUM(E$17:E50)=D$10,F50,D$10-SUM(E$17:E50))</f>
        <v>12021.857142857138</v>
      </c>
      <c r="E51" s="484">
        <f t="shared" si="12"/>
        <v>1335.7619047619048</v>
      </c>
      <c r="F51" s="485">
        <f t="shared" si="13"/>
        <v>10686.095238095233</v>
      </c>
      <c r="G51" s="486">
        <f t="shared" si="14"/>
        <v>2559.8482227230174</v>
      </c>
      <c r="H51" s="455">
        <f t="shared" si="15"/>
        <v>2559.8482227230174</v>
      </c>
      <c r="I51" s="475">
        <f t="shared" si="16"/>
        <v>0</v>
      </c>
      <c r="J51" s="475"/>
      <c r="K51" s="487"/>
      <c r="L51" s="478">
        <f t="shared" si="0"/>
        <v>0</v>
      </c>
      <c r="M51" s="487"/>
      <c r="N51" s="478">
        <f t="shared" si="1"/>
        <v>0</v>
      </c>
      <c r="O51" s="478">
        <f t="shared" si="2"/>
        <v>0</v>
      </c>
      <c r="P51" s="242"/>
    </row>
    <row r="52" spans="2:16">
      <c r="B52" s="160" t="str">
        <f t="shared" si="11"/>
        <v/>
      </c>
      <c r="C52" s="472">
        <f>IF(D11="","-",+C51+1)</f>
        <v>2057</v>
      </c>
      <c r="D52" s="483">
        <f>IF(F51+SUM(E$17:E51)=D$10,F51,D$10-SUM(E$17:E51))</f>
        <v>10686.095238095233</v>
      </c>
      <c r="E52" s="484">
        <f t="shared" si="12"/>
        <v>1335.7619047619048</v>
      </c>
      <c r="F52" s="485">
        <f t="shared" si="13"/>
        <v>9350.3333333333285</v>
      </c>
      <c r="G52" s="486">
        <f t="shared" si="14"/>
        <v>2415.8380676687689</v>
      </c>
      <c r="H52" s="455">
        <f t="shared" si="15"/>
        <v>2415.8380676687689</v>
      </c>
      <c r="I52" s="475">
        <f t="shared" si="16"/>
        <v>0</v>
      </c>
      <c r="J52" s="475"/>
      <c r="K52" s="487"/>
      <c r="L52" s="478">
        <f t="shared" si="0"/>
        <v>0</v>
      </c>
      <c r="M52" s="487"/>
      <c r="N52" s="478">
        <f t="shared" si="1"/>
        <v>0</v>
      </c>
      <c r="O52" s="478">
        <f t="shared" si="2"/>
        <v>0</v>
      </c>
      <c r="P52" s="242"/>
    </row>
    <row r="53" spans="2:16">
      <c r="B53" s="160" t="str">
        <f t="shared" si="11"/>
        <v/>
      </c>
      <c r="C53" s="472">
        <f>IF(D11="","-",+C52+1)</f>
        <v>2058</v>
      </c>
      <c r="D53" s="483">
        <f>IF(F52+SUM(E$17:E52)=D$10,F52,D$10-SUM(E$17:E52))</f>
        <v>9350.3333333333285</v>
      </c>
      <c r="E53" s="484">
        <f t="shared" si="12"/>
        <v>1335.7619047619048</v>
      </c>
      <c r="F53" s="485">
        <f t="shared" si="13"/>
        <v>8014.5714285714239</v>
      </c>
      <c r="G53" s="486">
        <f t="shared" si="14"/>
        <v>2271.8279126145203</v>
      </c>
      <c r="H53" s="455">
        <f t="shared" si="15"/>
        <v>2271.8279126145203</v>
      </c>
      <c r="I53" s="475">
        <f t="shared" si="16"/>
        <v>0</v>
      </c>
      <c r="J53" s="475"/>
      <c r="K53" s="487"/>
      <c r="L53" s="478">
        <f t="shared" si="0"/>
        <v>0</v>
      </c>
      <c r="M53" s="487"/>
      <c r="N53" s="478">
        <f t="shared" si="1"/>
        <v>0</v>
      </c>
      <c r="O53" s="478">
        <f t="shared" si="2"/>
        <v>0</v>
      </c>
      <c r="P53" s="242"/>
    </row>
    <row r="54" spans="2:16">
      <c r="B54" s="160" t="str">
        <f t="shared" si="11"/>
        <v/>
      </c>
      <c r="C54" s="472">
        <f>IF(D11="","-",+C53+1)</f>
        <v>2059</v>
      </c>
      <c r="D54" s="483">
        <f>IF(F53+SUM(E$17:E53)=D$10,F53,D$10-SUM(E$17:E53))</f>
        <v>8014.5714285714239</v>
      </c>
      <c r="E54" s="484">
        <f t="shared" si="12"/>
        <v>1335.7619047619048</v>
      </c>
      <c r="F54" s="485">
        <f t="shared" si="13"/>
        <v>6678.8095238095193</v>
      </c>
      <c r="G54" s="486">
        <f t="shared" si="14"/>
        <v>2127.8177575602717</v>
      </c>
      <c r="H54" s="455">
        <f t="shared" si="15"/>
        <v>2127.8177575602717</v>
      </c>
      <c r="I54" s="475">
        <f t="shared" si="16"/>
        <v>0</v>
      </c>
      <c r="J54" s="475"/>
      <c r="K54" s="487"/>
      <c r="L54" s="478">
        <f t="shared" si="0"/>
        <v>0</v>
      </c>
      <c r="M54" s="487"/>
      <c r="N54" s="478">
        <f t="shared" si="1"/>
        <v>0</v>
      </c>
      <c r="O54" s="478">
        <f t="shared" si="2"/>
        <v>0</v>
      </c>
      <c r="P54" s="242"/>
    </row>
    <row r="55" spans="2:16">
      <c r="B55" s="160" t="str">
        <f t="shared" si="11"/>
        <v/>
      </c>
      <c r="C55" s="472">
        <f>IF(D11="","-",+C54+1)</f>
        <v>2060</v>
      </c>
      <c r="D55" s="483">
        <f>IF(F54+SUM(E$17:E54)=D$10,F54,D$10-SUM(E$17:E54))</f>
        <v>6678.8095238095193</v>
      </c>
      <c r="E55" s="484">
        <f t="shared" si="12"/>
        <v>1335.7619047619048</v>
      </c>
      <c r="F55" s="485">
        <f t="shared" si="13"/>
        <v>5343.0476190476147</v>
      </c>
      <c r="G55" s="486">
        <f t="shared" si="14"/>
        <v>1983.8076025060232</v>
      </c>
      <c r="H55" s="455">
        <f t="shared" si="15"/>
        <v>1983.8076025060232</v>
      </c>
      <c r="I55" s="475">
        <f t="shared" si="16"/>
        <v>0</v>
      </c>
      <c r="J55" s="475"/>
      <c r="K55" s="487"/>
      <c r="L55" s="478">
        <f t="shared" si="0"/>
        <v>0</v>
      </c>
      <c r="M55" s="487"/>
      <c r="N55" s="478">
        <f t="shared" si="1"/>
        <v>0</v>
      </c>
      <c r="O55" s="478">
        <f t="shared" si="2"/>
        <v>0</v>
      </c>
      <c r="P55" s="242"/>
    </row>
    <row r="56" spans="2:16">
      <c r="B56" s="160" t="str">
        <f t="shared" si="11"/>
        <v/>
      </c>
      <c r="C56" s="472">
        <f>IF(D11="","-",+C55+1)</f>
        <v>2061</v>
      </c>
      <c r="D56" s="483">
        <f>IF(F55+SUM(E$17:E55)=D$10,F55,D$10-SUM(E$17:E55))</f>
        <v>5343.0476190476147</v>
      </c>
      <c r="E56" s="484">
        <f t="shared" si="12"/>
        <v>1335.7619047619048</v>
      </c>
      <c r="F56" s="485">
        <f t="shared" si="13"/>
        <v>4007.2857142857101</v>
      </c>
      <c r="G56" s="486">
        <f t="shared" si="14"/>
        <v>1839.7974474517746</v>
      </c>
      <c r="H56" s="455">
        <f t="shared" si="15"/>
        <v>1839.7974474517746</v>
      </c>
      <c r="I56" s="475">
        <f t="shared" si="16"/>
        <v>0</v>
      </c>
      <c r="J56" s="475"/>
      <c r="K56" s="487"/>
      <c r="L56" s="478">
        <f t="shared" si="0"/>
        <v>0</v>
      </c>
      <c r="M56" s="487"/>
      <c r="N56" s="478">
        <f t="shared" si="1"/>
        <v>0</v>
      </c>
      <c r="O56" s="478">
        <f t="shared" si="2"/>
        <v>0</v>
      </c>
      <c r="P56" s="242"/>
    </row>
    <row r="57" spans="2:16">
      <c r="B57" s="160" t="str">
        <f t="shared" si="11"/>
        <v/>
      </c>
      <c r="C57" s="472">
        <f>IF(D11="","-",+C56+1)</f>
        <v>2062</v>
      </c>
      <c r="D57" s="483">
        <f>IF(F56+SUM(E$17:E56)=D$10,F56,D$10-SUM(E$17:E56))</f>
        <v>4007.2857142857101</v>
      </c>
      <c r="E57" s="484">
        <f t="shared" si="12"/>
        <v>1335.7619047619048</v>
      </c>
      <c r="F57" s="485">
        <f t="shared" si="13"/>
        <v>2671.5238095238055</v>
      </c>
      <c r="G57" s="486">
        <f t="shared" si="14"/>
        <v>1695.787292397526</v>
      </c>
      <c r="H57" s="455">
        <f t="shared" si="15"/>
        <v>1695.787292397526</v>
      </c>
      <c r="I57" s="475">
        <f t="shared" si="16"/>
        <v>0</v>
      </c>
      <c r="J57" s="475"/>
      <c r="K57" s="487"/>
      <c r="L57" s="478">
        <f t="shared" si="0"/>
        <v>0</v>
      </c>
      <c r="M57" s="487"/>
      <c r="N57" s="478">
        <f t="shared" si="1"/>
        <v>0</v>
      </c>
      <c r="O57" s="478">
        <f t="shared" si="2"/>
        <v>0</v>
      </c>
      <c r="P57" s="242"/>
    </row>
    <row r="58" spans="2:16">
      <c r="B58" s="160" t="str">
        <f t="shared" si="11"/>
        <v/>
      </c>
      <c r="C58" s="472">
        <f>IF(D11="","-",+C57+1)</f>
        <v>2063</v>
      </c>
      <c r="D58" s="483">
        <f>IF(F57+SUM(E$17:E57)=D$10,F57,D$10-SUM(E$17:E57))</f>
        <v>2671.5238095238055</v>
      </c>
      <c r="E58" s="484">
        <f t="shared" si="12"/>
        <v>1335.7619047619048</v>
      </c>
      <c r="F58" s="485">
        <f t="shared" si="13"/>
        <v>1335.7619047619007</v>
      </c>
      <c r="G58" s="486">
        <f t="shared" si="14"/>
        <v>1551.7771373432772</v>
      </c>
      <c r="H58" s="455">
        <f t="shared" si="15"/>
        <v>1551.7771373432772</v>
      </c>
      <c r="I58" s="475">
        <f t="shared" si="16"/>
        <v>0</v>
      </c>
      <c r="J58" s="475"/>
      <c r="K58" s="487"/>
      <c r="L58" s="478">
        <f t="shared" si="0"/>
        <v>0</v>
      </c>
      <c r="M58" s="487"/>
      <c r="N58" s="478">
        <f t="shared" si="1"/>
        <v>0</v>
      </c>
      <c r="O58" s="478">
        <f t="shared" si="2"/>
        <v>0</v>
      </c>
      <c r="P58" s="242"/>
    </row>
    <row r="59" spans="2:16">
      <c r="B59" s="160" t="str">
        <f t="shared" si="11"/>
        <v>IU</v>
      </c>
      <c r="C59" s="472">
        <f>IF(D11="","-",+C58+1)</f>
        <v>2064</v>
      </c>
      <c r="D59" s="483">
        <f>IF(F58+SUM(E$17:E58)=D$10,F58,D$10-SUM(E$17:E58))</f>
        <v>1335.76190476185</v>
      </c>
      <c r="E59" s="484">
        <f t="shared" si="12"/>
        <v>1335.76190476185</v>
      </c>
      <c r="F59" s="485">
        <f t="shared" si="13"/>
        <v>0</v>
      </c>
      <c r="G59" s="486">
        <f t="shared" si="14"/>
        <v>1407.7669822889713</v>
      </c>
      <c r="H59" s="455">
        <f t="shared" si="15"/>
        <v>1407.7669822889713</v>
      </c>
      <c r="I59" s="475">
        <f t="shared" si="16"/>
        <v>0</v>
      </c>
      <c r="J59" s="475"/>
      <c r="K59" s="487"/>
      <c r="L59" s="478">
        <f t="shared" si="0"/>
        <v>0</v>
      </c>
      <c r="M59" s="487"/>
      <c r="N59" s="478">
        <f t="shared" si="1"/>
        <v>0</v>
      </c>
      <c r="O59" s="478">
        <f t="shared" si="2"/>
        <v>0</v>
      </c>
      <c r="P59" s="242"/>
    </row>
    <row r="60" spans="2:16">
      <c r="B60" s="160" t="str">
        <f t="shared" si="11"/>
        <v/>
      </c>
      <c r="C60" s="472">
        <f>IF(D11="","-",+C59+1)</f>
        <v>2065</v>
      </c>
      <c r="D60" s="483">
        <f>IF(F59+SUM(E$17:E59)=D$10,F59,D$10-SUM(E$17:E59))</f>
        <v>0</v>
      </c>
      <c r="E60" s="484">
        <f t="shared" si="12"/>
        <v>0</v>
      </c>
      <c r="F60" s="485">
        <f t="shared" si="13"/>
        <v>0</v>
      </c>
      <c r="G60" s="486">
        <f t="shared" si="14"/>
        <v>0</v>
      </c>
      <c r="H60" s="455">
        <f t="shared" si="15"/>
        <v>0</v>
      </c>
      <c r="I60" s="475">
        <f t="shared" si="16"/>
        <v>0</v>
      </c>
      <c r="J60" s="475"/>
      <c r="K60" s="487"/>
      <c r="L60" s="478">
        <f t="shared" si="0"/>
        <v>0</v>
      </c>
      <c r="M60" s="487"/>
      <c r="N60" s="478">
        <f t="shared" si="1"/>
        <v>0</v>
      </c>
      <c r="O60" s="478">
        <f t="shared" si="2"/>
        <v>0</v>
      </c>
      <c r="P60" s="242"/>
    </row>
    <row r="61" spans="2:16">
      <c r="B61" s="160" t="str">
        <f t="shared" si="11"/>
        <v/>
      </c>
      <c r="C61" s="472">
        <f>IF(D11="","-",+C60+1)</f>
        <v>2066</v>
      </c>
      <c r="D61" s="483">
        <f>IF(F60+SUM(E$17:E60)=D$10,F60,D$10-SUM(E$17:E60))</f>
        <v>0</v>
      </c>
      <c r="E61" s="484">
        <f t="shared" si="12"/>
        <v>0</v>
      </c>
      <c r="F61" s="485">
        <f t="shared" si="13"/>
        <v>0</v>
      </c>
      <c r="G61" s="486">
        <f t="shared" si="14"/>
        <v>0</v>
      </c>
      <c r="H61" s="455">
        <f t="shared" si="15"/>
        <v>0</v>
      </c>
      <c r="I61" s="475">
        <f t="shared" si="16"/>
        <v>0</v>
      </c>
      <c r="J61" s="475"/>
      <c r="K61" s="487"/>
      <c r="L61" s="478">
        <f t="shared" si="0"/>
        <v>0</v>
      </c>
      <c r="M61" s="487"/>
      <c r="N61" s="478">
        <f t="shared" si="1"/>
        <v>0</v>
      </c>
      <c r="O61" s="478">
        <f t="shared" si="2"/>
        <v>0</v>
      </c>
      <c r="P61" s="242"/>
    </row>
    <row r="62" spans="2:16">
      <c r="B62" s="160" t="str">
        <f t="shared" si="11"/>
        <v/>
      </c>
      <c r="C62" s="472">
        <f>IF(D11="","-",+C61+1)</f>
        <v>2067</v>
      </c>
      <c r="D62" s="483">
        <f>IF(F61+SUM(E$17:E61)=D$10,F61,D$10-SUM(E$17:E61))</f>
        <v>0</v>
      </c>
      <c r="E62" s="484">
        <f t="shared" si="12"/>
        <v>0</v>
      </c>
      <c r="F62" s="485">
        <f t="shared" si="13"/>
        <v>0</v>
      </c>
      <c r="G62" s="486">
        <f t="shared" si="14"/>
        <v>0</v>
      </c>
      <c r="H62" s="455">
        <f t="shared" si="15"/>
        <v>0</v>
      </c>
      <c r="I62" s="475">
        <f t="shared" si="16"/>
        <v>0</v>
      </c>
      <c r="J62" s="475"/>
      <c r="K62" s="487"/>
      <c r="L62" s="478">
        <f t="shared" si="0"/>
        <v>0</v>
      </c>
      <c r="M62" s="487"/>
      <c r="N62" s="478">
        <f t="shared" si="1"/>
        <v>0</v>
      </c>
      <c r="O62" s="478">
        <f t="shared" si="2"/>
        <v>0</v>
      </c>
      <c r="P62" s="242"/>
    </row>
    <row r="63" spans="2:16">
      <c r="B63" s="160" t="str">
        <f t="shared" si="11"/>
        <v/>
      </c>
      <c r="C63" s="472">
        <f>IF(D11="","-",+C62+1)</f>
        <v>2068</v>
      </c>
      <c r="D63" s="483">
        <f>IF(F62+SUM(E$17:E62)=D$10,F62,D$10-SUM(E$17:E62))</f>
        <v>0</v>
      </c>
      <c r="E63" s="484">
        <f t="shared" si="12"/>
        <v>0</v>
      </c>
      <c r="F63" s="485">
        <f t="shared" si="13"/>
        <v>0</v>
      </c>
      <c r="G63" s="486">
        <f t="shared" si="14"/>
        <v>0</v>
      </c>
      <c r="H63" s="455">
        <f t="shared" si="15"/>
        <v>0</v>
      </c>
      <c r="I63" s="475">
        <f t="shared" si="16"/>
        <v>0</v>
      </c>
      <c r="J63" s="475"/>
      <c r="K63" s="487"/>
      <c r="L63" s="478">
        <f t="shared" si="0"/>
        <v>0</v>
      </c>
      <c r="M63" s="487"/>
      <c r="N63" s="478">
        <f t="shared" si="1"/>
        <v>0</v>
      </c>
      <c r="O63" s="478">
        <f t="shared" si="2"/>
        <v>0</v>
      </c>
      <c r="P63" s="242"/>
    </row>
    <row r="64" spans="2:16">
      <c r="B64" s="160" t="str">
        <f t="shared" si="11"/>
        <v/>
      </c>
      <c r="C64" s="472">
        <f>IF(D11="","-",+C63+1)</f>
        <v>2069</v>
      </c>
      <c r="D64" s="483">
        <f>IF(F63+SUM(E$17:E63)=D$10,F63,D$10-SUM(E$17:E63))</f>
        <v>0</v>
      </c>
      <c r="E64" s="484">
        <f t="shared" si="12"/>
        <v>0</v>
      </c>
      <c r="F64" s="485">
        <f t="shared" si="13"/>
        <v>0</v>
      </c>
      <c r="G64" s="486">
        <f t="shared" si="14"/>
        <v>0</v>
      </c>
      <c r="H64" s="455">
        <f t="shared" si="15"/>
        <v>0</v>
      </c>
      <c r="I64" s="475">
        <f t="shared" si="16"/>
        <v>0</v>
      </c>
      <c r="J64" s="475"/>
      <c r="K64" s="487"/>
      <c r="L64" s="478">
        <f t="shared" si="0"/>
        <v>0</v>
      </c>
      <c r="M64" s="487"/>
      <c r="N64" s="478">
        <f t="shared" si="1"/>
        <v>0</v>
      </c>
      <c r="O64" s="478">
        <f t="shared" si="2"/>
        <v>0</v>
      </c>
      <c r="P64" s="242"/>
    </row>
    <row r="65" spans="2:16">
      <c r="B65" s="160" t="str">
        <f t="shared" si="11"/>
        <v/>
      </c>
      <c r="C65" s="472">
        <f>IF(D11="","-",+C64+1)</f>
        <v>2070</v>
      </c>
      <c r="D65" s="483">
        <f>IF(F64+SUM(E$17:E64)=D$10,F64,D$10-SUM(E$17:E64))</f>
        <v>0</v>
      </c>
      <c r="E65" s="484">
        <f t="shared" si="12"/>
        <v>0</v>
      </c>
      <c r="F65" s="485">
        <f t="shared" si="13"/>
        <v>0</v>
      </c>
      <c r="G65" s="486">
        <f t="shared" si="14"/>
        <v>0</v>
      </c>
      <c r="H65" s="455">
        <f t="shared" si="15"/>
        <v>0</v>
      </c>
      <c r="I65" s="475">
        <f t="shared" si="16"/>
        <v>0</v>
      </c>
      <c r="J65" s="475"/>
      <c r="K65" s="487"/>
      <c r="L65" s="478">
        <f t="shared" si="0"/>
        <v>0</v>
      </c>
      <c r="M65" s="487"/>
      <c r="N65" s="478">
        <f t="shared" si="1"/>
        <v>0</v>
      </c>
      <c r="O65" s="478">
        <f t="shared" si="2"/>
        <v>0</v>
      </c>
      <c r="P65" s="242"/>
    </row>
    <row r="66" spans="2:16">
      <c r="B66" s="160" t="str">
        <f t="shared" si="11"/>
        <v/>
      </c>
      <c r="C66" s="472">
        <f>IF(D11="","-",+C65+1)</f>
        <v>2071</v>
      </c>
      <c r="D66" s="483">
        <f>IF(F65+SUM(E$17:E65)=D$10,F65,D$10-SUM(E$17:E65))</f>
        <v>0</v>
      </c>
      <c r="E66" s="484">
        <f t="shared" si="12"/>
        <v>0</v>
      </c>
      <c r="F66" s="485">
        <f t="shared" si="13"/>
        <v>0</v>
      </c>
      <c r="G66" s="486">
        <f t="shared" si="14"/>
        <v>0</v>
      </c>
      <c r="H66" s="455">
        <f t="shared" si="15"/>
        <v>0</v>
      </c>
      <c r="I66" s="475">
        <f t="shared" si="16"/>
        <v>0</v>
      </c>
      <c r="J66" s="475"/>
      <c r="K66" s="487"/>
      <c r="L66" s="478">
        <f t="shared" si="0"/>
        <v>0</v>
      </c>
      <c r="M66" s="487"/>
      <c r="N66" s="478">
        <f t="shared" si="1"/>
        <v>0</v>
      </c>
      <c r="O66" s="478">
        <f t="shared" si="2"/>
        <v>0</v>
      </c>
      <c r="P66" s="242"/>
    </row>
    <row r="67" spans="2:16">
      <c r="B67" s="160" t="str">
        <f t="shared" si="11"/>
        <v/>
      </c>
      <c r="C67" s="472">
        <f>IF(D11="","-",+C66+1)</f>
        <v>2072</v>
      </c>
      <c r="D67" s="483">
        <f>IF(F66+SUM(E$17:E66)=D$10,F66,D$10-SUM(E$17:E66))</f>
        <v>0</v>
      </c>
      <c r="E67" s="484">
        <f t="shared" si="12"/>
        <v>0</v>
      </c>
      <c r="F67" s="485">
        <f t="shared" si="13"/>
        <v>0</v>
      </c>
      <c r="G67" s="486">
        <f t="shared" si="14"/>
        <v>0</v>
      </c>
      <c r="H67" s="455">
        <f t="shared" si="15"/>
        <v>0</v>
      </c>
      <c r="I67" s="475">
        <f t="shared" si="16"/>
        <v>0</v>
      </c>
      <c r="J67" s="475"/>
      <c r="K67" s="487"/>
      <c r="L67" s="478">
        <f t="shared" si="0"/>
        <v>0</v>
      </c>
      <c r="M67" s="487"/>
      <c r="N67" s="478">
        <f t="shared" si="1"/>
        <v>0</v>
      </c>
      <c r="O67" s="478">
        <f t="shared" si="2"/>
        <v>0</v>
      </c>
      <c r="P67" s="242"/>
    </row>
    <row r="68" spans="2:16">
      <c r="B68" s="160" t="str">
        <f t="shared" si="11"/>
        <v/>
      </c>
      <c r="C68" s="472">
        <f>IF(D11="","-",+C67+1)</f>
        <v>2073</v>
      </c>
      <c r="D68" s="483">
        <f>IF(F67+SUM(E$17:E67)=D$10,F67,D$10-SUM(E$17:E67))</f>
        <v>0</v>
      </c>
      <c r="E68" s="484">
        <f t="shared" si="12"/>
        <v>0</v>
      </c>
      <c r="F68" s="485">
        <f t="shared" si="13"/>
        <v>0</v>
      </c>
      <c r="G68" s="486">
        <f t="shared" si="14"/>
        <v>0</v>
      </c>
      <c r="H68" s="455">
        <f t="shared" si="15"/>
        <v>0</v>
      </c>
      <c r="I68" s="475">
        <f t="shared" si="16"/>
        <v>0</v>
      </c>
      <c r="J68" s="475"/>
      <c r="K68" s="487"/>
      <c r="L68" s="478">
        <f t="shared" si="0"/>
        <v>0</v>
      </c>
      <c r="M68" s="487"/>
      <c r="N68" s="478">
        <f t="shared" si="1"/>
        <v>0</v>
      </c>
      <c r="O68" s="478">
        <f t="shared" si="2"/>
        <v>0</v>
      </c>
      <c r="P68" s="242"/>
    </row>
    <row r="69" spans="2:16">
      <c r="B69" s="160" t="str">
        <f t="shared" si="11"/>
        <v/>
      </c>
      <c r="C69" s="472">
        <f>IF(D11="","-",+C68+1)</f>
        <v>2074</v>
      </c>
      <c r="D69" s="483">
        <f>IF(F68+SUM(E$17:E68)=D$10,F68,D$10-SUM(E$17:E68))</f>
        <v>0</v>
      </c>
      <c r="E69" s="484">
        <f t="shared" si="12"/>
        <v>0</v>
      </c>
      <c r="F69" s="485">
        <f t="shared" si="13"/>
        <v>0</v>
      </c>
      <c r="G69" s="486">
        <f t="shared" si="14"/>
        <v>0</v>
      </c>
      <c r="H69" s="455">
        <f t="shared" si="15"/>
        <v>0</v>
      </c>
      <c r="I69" s="475">
        <f t="shared" si="16"/>
        <v>0</v>
      </c>
      <c r="J69" s="475"/>
      <c r="K69" s="487"/>
      <c r="L69" s="478">
        <f t="shared" si="0"/>
        <v>0</v>
      </c>
      <c r="M69" s="487"/>
      <c r="N69" s="478">
        <f t="shared" si="1"/>
        <v>0</v>
      </c>
      <c r="O69" s="478">
        <f t="shared" si="2"/>
        <v>0</v>
      </c>
      <c r="P69" s="242"/>
    </row>
    <row r="70" spans="2:16">
      <c r="B70" s="160" t="str">
        <f t="shared" si="11"/>
        <v/>
      </c>
      <c r="C70" s="472">
        <f>IF(D11="","-",+C69+1)</f>
        <v>2075</v>
      </c>
      <c r="D70" s="483">
        <f>IF(F69+SUM(E$17:E69)=D$10,F69,D$10-SUM(E$17:E69))</f>
        <v>0</v>
      </c>
      <c r="E70" s="484">
        <f t="shared" si="12"/>
        <v>0</v>
      </c>
      <c r="F70" s="485">
        <f t="shared" si="13"/>
        <v>0</v>
      </c>
      <c r="G70" s="486">
        <f t="shared" si="14"/>
        <v>0</v>
      </c>
      <c r="H70" s="455">
        <f t="shared" si="15"/>
        <v>0</v>
      </c>
      <c r="I70" s="475">
        <f t="shared" si="16"/>
        <v>0</v>
      </c>
      <c r="J70" s="475"/>
      <c r="K70" s="487"/>
      <c r="L70" s="478">
        <f t="shared" si="0"/>
        <v>0</v>
      </c>
      <c r="M70" s="487"/>
      <c r="N70" s="478">
        <f t="shared" si="1"/>
        <v>0</v>
      </c>
      <c r="O70" s="478">
        <f t="shared" si="2"/>
        <v>0</v>
      </c>
      <c r="P70" s="242"/>
    </row>
    <row r="71" spans="2:16">
      <c r="B71" s="160" t="str">
        <f t="shared" si="11"/>
        <v/>
      </c>
      <c r="C71" s="472">
        <f>IF(D11="","-",+C70+1)</f>
        <v>2076</v>
      </c>
      <c r="D71" s="483">
        <f>IF(F70+SUM(E$17:E70)=D$10,F70,D$10-SUM(E$17:E70))</f>
        <v>0</v>
      </c>
      <c r="E71" s="484">
        <f t="shared" si="12"/>
        <v>0</v>
      </c>
      <c r="F71" s="485">
        <f t="shared" si="13"/>
        <v>0</v>
      </c>
      <c r="G71" s="486">
        <f t="shared" si="14"/>
        <v>0</v>
      </c>
      <c r="H71" s="455">
        <f t="shared" si="15"/>
        <v>0</v>
      </c>
      <c r="I71" s="475">
        <f t="shared" si="16"/>
        <v>0</v>
      </c>
      <c r="J71" s="475"/>
      <c r="K71" s="487"/>
      <c r="L71" s="478">
        <f t="shared" si="0"/>
        <v>0</v>
      </c>
      <c r="M71" s="487"/>
      <c r="N71" s="478">
        <f t="shared" si="1"/>
        <v>0</v>
      </c>
      <c r="O71" s="478">
        <f t="shared" si="2"/>
        <v>0</v>
      </c>
      <c r="P71" s="242"/>
    </row>
    <row r="72" spans="2:16" ht="13.5" thickBot="1">
      <c r="B72" s="160" t="str">
        <f t="shared" si="11"/>
        <v/>
      </c>
      <c r="C72" s="489">
        <f>IF(D11="","-",+C71+1)</f>
        <v>2077</v>
      </c>
      <c r="D72" s="612">
        <f>IF(F71+SUM(E$17:E71)=D$10,F71,D$10-SUM(E$17:E71))</f>
        <v>0</v>
      </c>
      <c r="E72" s="491">
        <f>IF(+I$14&lt;F71,I$14,D72)</f>
        <v>0</v>
      </c>
      <c r="F72" s="490">
        <f>+D72-E72</f>
        <v>0</v>
      </c>
      <c r="G72" s="544">
        <f>(D72+F72)/2*I$12+E72</f>
        <v>0</v>
      </c>
      <c r="H72" s="435">
        <f>+(D72+F72)/2*I$13+E72</f>
        <v>0</v>
      </c>
      <c r="I72" s="493">
        <f>H72-G72</f>
        <v>0</v>
      </c>
      <c r="J72" s="475"/>
      <c r="K72" s="494"/>
      <c r="L72" s="495">
        <f t="shared" si="0"/>
        <v>0</v>
      </c>
      <c r="M72" s="494"/>
      <c r="N72" s="495">
        <f t="shared" si="1"/>
        <v>0</v>
      </c>
      <c r="O72" s="495">
        <f t="shared" si="2"/>
        <v>0</v>
      </c>
      <c r="P72" s="242"/>
    </row>
    <row r="73" spans="2:16">
      <c r="C73" s="346" t="s">
        <v>77</v>
      </c>
      <c r="D73" s="347"/>
      <c r="E73" s="347">
        <f>SUM(E17:E72)</f>
        <v>56102</v>
      </c>
      <c r="F73" s="347"/>
      <c r="G73" s="347">
        <f>SUM(G17:G72)</f>
        <v>186143.17001398638</v>
      </c>
      <c r="H73" s="347">
        <f>SUM(H17:H72)</f>
        <v>186143.17001398638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16" t="str">
        <f ca="1">P1</f>
        <v>PSO Project 31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0</v>
      </c>
      <c r="N87" s="508">
        <f>IF(J92&lt;D11,0,VLOOKUP(J92,C17:O72,11))</f>
        <v>0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0</v>
      </c>
      <c r="N88" s="512">
        <f>IF(J92&lt;D11,0,VLOOKUP(J92,C99:P154,7))</f>
        <v>0</v>
      </c>
      <c r="O88" s="513">
        <f>+N88-M88</f>
        <v>0</v>
      </c>
      <c r="P88" s="232"/>
    </row>
    <row r="89" spans="1:16" ht="13.5" thickBot="1">
      <c r="C89" s="431" t="s">
        <v>92</v>
      </c>
      <c r="D89" s="519" t="str">
        <f>D7</f>
        <v>Pryor Junction 138/115 kV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0</v>
      </c>
      <c r="N89" s="517">
        <f>+N88-N87</f>
        <v>0</v>
      </c>
      <c r="O89" s="518">
        <f>+O88-O87</f>
        <v>0</v>
      </c>
      <c r="P89" s="232"/>
    </row>
    <row r="90" spans="1:16" ht="13.5" thickBot="1">
      <c r="C90" s="496"/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/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526">
        <v>0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+D11</f>
        <v>2022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5">
        <f>+D12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0</v>
      </c>
      <c r="K96" s="347"/>
      <c r="L96" s="347"/>
      <c r="M96" s="347"/>
      <c r="N96" s="347"/>
      <c r="O96" s="347"/>
      <c r="P96" s="242"/>
    </row>
    <row r="97" spans="1:16" ht="38.25">
      <c r="A97" s="628"/>
      <c r="B97" s="628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3" t="s">
        <v>102</v>
      </c>
      <c r="M97" s="463" t="s">
        <v>99</v>
      </c>
      <c r="N97" s="463" t="s">
        <v>102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2022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478"/>
      <c r="L99" s="477">
        <f>+H99</f>
        <v>0</v>
      </c>
      <c r="M99" s="477">
        <f t="shared" ref="M99:M130" si="17">IF(L99&lt;&gt;0,+H99-L99,0)</f>
        <v>0</v>
      </c>
      <c r="N99" s="477">
        <f>+I99</f>
        <v>0</v>
      </c>
      <c r="O99" s="477">
        <f t="shared" ref="O99:O130" si="18">IF(N99&lt;&gt;0,+I99-N99,0)</f>
        <v>0</v>
      </c>
      <c r="P99" s="477">
        <f t="shared" ref="P99:P130" si="19">+O99-M99</f>
        <v>0</v>
      </c>
    </row>
    <row r="100" spans="1:16">
      <c r="B100" s="160" t="str">
        <f>IF(D100=F99,"","IU")</f>
        <v/>
      </c>
      <c r="C100" s="472">
        <f>IF(D93="","-",+C99+1)</f>
        <v>2023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20">+J$94*G100+E100</f>
        <v>0</v>
      </c>
      <c r="I100" s="139">
        <f t="shared" ref="I100:I154" si="21">+J$95*G100+E100</f>
        <v>0</v>
      </c>
      <c r="J100" s="67">
        <f t="shared" ref="J100:J130" si="22">+I100-H100</f>
        <v>0</v>
      </c>
      <c r="K100" s="478"/>
      <c r="L100" s="487"/>
      <c r="M100" s="478">
        <f t="shared" si="17"/>
        <v>0</v>
      </c>
      <c r="N100" s="487"/>
      <c r="O100" s="478">
        <f t="shared" si="18"/>
        <v>0</v>
      </c>
      <c r="P100" s="478">
        <f t="shared" si="19"/>
        <v>0</v>
      </c>
    </row>
    <row r="101" spans="1:16">
      <c r="B101" s="160" t="str">
        <f t="shared" ref="B101:B154" si="23">IF(D101=F100,"","IU")</f>
        <v/>
      </c>
      <c r="C101" s="472">
        <f>IF(D93="","-",+C100+1)</f>
        <v>2024</v>
      </c>
      <c r="D101" s="63">
        <f>IF(F100+SUM(E$99:E100)=D$92,F100,D$92-SUM(E$99:E100))</f>
        <v>0</v>
      </c>
      <c r="E101" s="69">
        <f t="shared" ref="E101:E154" si="24">IF(+J$96&lt;F100,J$96,D101)</f>
        <v>0</v>
      </c>
      <c r="F101" s="68">
        <f t="shared" ref="F101:F154" si="25">+D101-E101</f>
        <v>0</v>
      </c>
      <c r="G101" s="68">
        <f t="shared" ref="G101:G154" si="26">+(F101+D101)/2</f>
        <v>0</v>
      </c>
      <c r="H101" s="130">
        <f t="shared" si="20"/>
        <v>0</v>
      </c>
      <c r="I101" s="139">
        <f t="shared" si="21"/>
        <v>0</v>
      </c>
      <c r="J101" s="67">
        <f t="shared" si="22"/>
        <v>0</v>
      </c>
      <c r="K101" s="478"/>
      <c r="L101" s="487"/>
      <c r="M101" s="478">
        <f t="shared" si="17"/>
        <v>0</v>
      </c>
      <c r="N101" s="487"/>
      <c r="O101" s="478">
        <f t="shared" si="18"/>
        <v>0</v>
      </c>
      <c r="P101" s="478">
        <f t="shared" si="19"/>
        <v>0</v>
      </c>
    </row>
    <row r="102" spans="1:16">
      <c r="B102" s="160" t="str">
        <f t="shared" si="23"/>
        <v/>
      </c>
      <c r="C102" s="472">
        <f>IF(D93="","-",+C101+1)</f>
        <v>2025</v>
      </c>
      <c r="D102" s="63">
        <f>IF(F101+SUM(E$99:E101)=D$92,F101,D$92-SUM(E$99:E101))</f>
        <v>0</v>
      </c>
      <c r="E102" s="69">
        <f t="shared" si="24"/>
        <v>0</v>
      </c>
      <c r="F102" s="68">
        <f t="shared" si="25"/>
        <v>0</v>
      </c>
      <c r="G102" s="68">
        <f t="shared" si="26"/>
        <v>0</v>
      </c>
      <c r="H102" s="130">
        <f t="shared" si="20"/>
        <v>0</v>
      </c>
      <c r="I102" s="139">
        <f t="shared" si="21"/>
        <v>0</v>
      </c>
      <c r="J102" s="67">
        <f t="shared" si="22"/>
        <v>0</v>
      </c>
      <c r="K102" s="478"/>
      <c r="L102" s="487"/>
      <c r="M102" s="478">
        <f t="shared" si="17"/>
        <v>0</v>
      </c>
      <c r="N102" s="487"/>
      <c r="O102" s="478">
        <f t="shared" si="18"/>
        <v>0</v>
      </c>
      <c r="P102" s="478">
        <f t="shared" si="19"/>
        <v>0</v>
      </c>
    </row>
    <row r="103" spans="1:16">
      <c r="B103" s="160" t="str">
        <f t="shared" si="23"/>
        <v/>
      </c>
      <c r="C103" s="472">
        <f>IF(D93="","-",+C102+1)</f>
        <v>2026</v>
      </c>
      <c r="D103" s="63">
        <f>IF(F102+SUM(E$99:E102)=D$92,F102,D$92-SUM(E$99:E102))</f>
        <v>0</v>
      </c>
      <c r="E103" s="69">
        <f t="shared" si="24"/>
        <v>0</v>
      </c>
      <c r="F103" s="68">
        <f t="shared" si="25"/>
        <v>0</v>
      </c>
      <c r="G103" s="68">
        <f t="shared" si="26"/>
        <v>0</v>
      </c>
      <c r="H103" s="130">
        <f t="shared" si="20"/>
        <v>0</v>
      </c>
      <c r="I103" s="139">
        <f t="shared" si="21"/>
        <v>0</v>
      </c>
      <c r="J103" s="67">
        <f t="shared" si="22"/>
        <v>0</v>
      </c>
      <c r="K103" s="478"/>
      <c r="L103" s="487"/>
      <c r="M103" s="478">
        <f t="shared" si="17"/>
        <v>0</v>
      </c>
      <c r="N103" s="487"/>
      <c r="O103" s="478">
        <f t="shared" si="18"/>
        <v>0</v>
      </c>
      <c r="P103" s="478">
        <f t="shared" si="19"/>
        <v>0</v>
      </c>
    </row>
    <row r="104" spans="1:16">
      <c r="B104" s="160" t="str">
        <f t="shared" si="23"/>
        <v/>
      </c>
      <c r="C104" s="472">
        <f>IF(D93="","-",+C103+1)</f>
        <v>2027</v>
      </c>
      <c r="D104" s="63">
        <f>IF(F103+SUM(E$99:E103)=D$92,F103,D$92-SUM(E$99:E103))</f>
        <v>0</v>
      </c>
      <c r="E104" s="69">
        <f t="shared" si="24"/>
        <v>0</v>
      </c>
      <c r="F104" s="68">
        <f t="shared" si="25"/>
        <v>0</v>
      </c>
      <c r="G104" s="68">
        <f t="shared" si="26"/>
        <v>0</v>
      </c>
      <c r="H104" s="130">
        <f t="shared" si="20"/>
        <v>0</v>
      </c>
      <c r="I104" s="139">
        <f t="shared" si="21"/>
        <v>0</v>
      </c>
      <c r="J104" s="67">
        <f t="shared" si="22"/>
        <v>0</v>
      </c>
      <c r="K104" s="478"/>
      <c r="L104" s="487"/>
      <c r="M104" s="478">
        <f t="shared" si="17"/>
        <v>0</v>
      </c>
      <c r="N104" s="487"/>
      <c r="O104" s="478">
        <f t="shared" si="18"/>
        <v>0</v>
      </c>
      <c r="P104" s="478">
        <f t="shared" si="19"/>
        <v>0</v>
      </c>
    </row>
    <row r="105" spans="1:16">
      <c r="B105" s="160" t="str">
        <f t="shared" si="23"/>
        <v/>
      </c>
      <c r="C105" s="472">
        <f>IF(D93="","-",+C104+1)</f>
        <v>2028</v>
      </c>
      <c r="D105" s="63">
        <f>IF(F104+SUM(E$99:E104)=D$92,F104,D$92-SUM(E$99:E104))</f>
        <v>0</v>
      </c>
      <c r="E105" s="69">
        <f t="shared" si="24"/>
        <v>0</v>
      </c>
      <c r="F105" s="68">
        <f t="shared" si="25"/>
        <v>0</v>
      </c>
      <c r="G105" s="68">
        <f t="shared" si="26"/>
        <v>0</v>
      </c>
      <c r="H105" s="130">
        <f t="shared" si="20"/>
        <v>0</v>
      </c>
      <c r="I105" s="139">
        <f t="shared" si="21"/>
        <v>0</v>
      </c>
      <c r="J105" s="67">
        <f t="shared" si="22"/>
        <v>0</v>
      </c>
      <c r="K105" s="478"/>
      <c r="L105" s="487"/>
      <c r="M105" s="478">
        <f t="shared" si="17"/>
        <v>0</v>
      </c>
      <c r="N105" s="487"/>
      <c r="O105" s="478">
        <f t="shared" si="18"/>
        <v>0</v>
      </c>
      <c r="P105" s="478">
        <f t="shared" si="19"/>
        <v>0</v>
      </c>
    </row>
    <row r="106" spans="1:16">
      <c r="B106" s="160" t="str">
        <f t="shared" si="23"/>
        <v/>
      </c>
      <c r="C106" s="472">
        <f>IF(D93="","-",+C105+1)</f>
        <v>2029</v>
      </c>
      <c r="D106" s="63">
        <f>IF(F105+SUM(E$99:E105)=D$92,F105,D$92-SUM(E$99:E105))</f>
        <v>0</v>
      </c>
      <c r="E106" s="69">
        <f t="shared" si="24"/>
        <v>0</v>
      </c>
      <c r="F106" s="68">
        <f t="shared" si="25"/>
        <v>0</v>
      </c>
      <c r="G106" s="68">
        <f t="shared" si="26"/>
        <v>0</v>
      </c>
      <c r="H106" s="130">
        <f t="shared" si="20"/>
        <v>0</v>
      </c>
      <c r="I106" s="139">
        <f t="shared" si="21"/>
        <v>0</v>
      </c>
      <c r="J106" s="67">
        <f t="shared" si="22"/>
        <v>0</v>
      </c>
      <c r="K106" s="478"/>
      <c r="L106" s="487"/>
      <c r="M106" s="478">
        <f t="shared" si="17"/>
        <v>0</v>
      </c>
      <c r="N106" s="487"/>
      <c r="O106" s="478">
        <f t="shared" si="18"/>
        <v>0</v>
      </c>
      <c r="P106" s="478">
        <f t="shared" si="19"/>
        <v>0</v>
      </c>
    </row>
    <row r="107" spans="1:16">
      <c r="B107" s="160" t="str">
        <f t="shared" si="23"/>
        <v/>
      </c>
      <c r="C107" s="472">
        <f>IF(D93="","-",+C106+1)</f>
        <v>2030</v>
      </c>
      <c r="D107" s="63">
        <f>IF(F106+SUM(E$99:E106)=D$92,F106,D$92-SUM(E$99:E106))</f>
        <v>0</v>
      </c>
      <c r="E107" s="69">
        <f t="shared" si="24"/>
        <v>0</v>
      </c>
      <c r="F107" s="68">
        <f t="shared" si="25"/>
        <v>0</v>
      </c>
      <c r="G107" s="68">
        <f t="shared" si="26"/>
        <v>0</v>
      </c>
      <c r="H107" s="130">
        <f t="shared" si="20"/>
        <v>0</v>
      </c>
      <c r="I107" s="139">
        <f t="shared" si="21"/>
        <v>0</v>
      </c>
      <c r="J107" s="67">
        <f t="shared" si="22"/>
        <v>0</v>
      </c>
      <c r="K107" s="478"/>
      <c r="L107" s="487"/>
      <c r="M107" s="478">
        <f t="shared" si="17"/>
        <v>0</v>
      </c>
      <c r="N107" s="487"/>
      <c r="O107" s="478">
        <f t="shared" si="18"/>
        <v>0</v>
      </c>
      <c r="P107" s="478">
        <f t="shared" si="19"/>
        <v>0</v>
      </c>
    </row>
    <row r="108" spans="1:16">
      <c r="B108" s="160" t="str">
        <f t="shared" si="23"/>
        <v/>
      </c>
      <c r="C108" s="472">
        <f>IF(D93="","-",+C107+1)</f>
        <v>2031</v>
      </c>
      <c r="D108" s="63">
        <f>IF(F107+SUM(E$99:E107)=D$92,F107,D$92-SUM(E$99:E107))</f>
        <v>0</v>
      </c>
      <c r="E108" s="69">
        <f t="shared" si="24"/>
        <v>0</v>
      </c>
      <c r="F108" s="68">
        <f t="shared" si="25"/>
        <v>0</v>
      </c>
      <c r="G108" s="68">
        <f t="shared" si="26"/>
        <v>0</v>
      </c>
      <c r="H108" s="130">
        <f t="shared" si="20"/>
        <v>0</v>
      </c>
      <c r="I108" s="139">
        <f t="shared" si="21"/>
        <v>0</v>
      </c>
      <c r="J108" s="67">
        <f t="shared" si="22"/>
        <v>0</v>
      </c>
      <c r="K108" s="478"/>
      <c r="L108" s="487"/>
      <c r="M108" s="478">
        <f t="shared" si="17"/>
        <v>0</v>
      </c>
      <c r="N108" s="487"/>
      <c r="O108" s="478">
        <f t="shared" si="18"/>
        <v>0</v>
      </c>
      <c r="P108" s="478">
        <f t="shared" si="19"/>
        <v>0</v>
      </c>
    </row>
    <row r="109" spans="1:16">
      <c r="B109" s="160" t="str">
        <f t="shared" si="23"/>
        <v/>
      </c>
      <c r="C109" s="472">
        <f>IF(D93="","-",+C108+1)</f>
        <v>2032</v>
      </c>
      <c r="D109" s="63">
        <f>IF(F108+SUM(E$99:E108)=D$92,F108,D$92-SUM(E$99:E108))</f>
        <v>0</v>
      </c>
      <c r="E109" s="69">
        <f t="shared" si="24"/>
        <v>0</v>
      </c>
      <c r="F109" s="68">
        <f t="shared" si="25"/>
        <v>0</v>
      </c>
      <c r="G109" s="68">
        <f t="shared" si="26"/>
        <v>0</v>
      </c>
      <c r="H109" s="130">
        <f t="shared" si="20"/>
        <v>0</v>
      </c>
      <c r="I109" s="139">
        <f t="shared" si="21"/>
        <v>0</v>
      </c>
      <c r="J109" s="67">
        <f t="shared" si="22"/>
        <v>0</v>
      </c>
      <c r="K109" s="478"/>
      <c r="L109" s="487"/>
      <c r="M109" s="478">
        <f t="shared" si="17"/>
        <v>0</v>
      </c>
      <c r="N109" s="487"/>
      <c r="O109" s="478">
        <f t="shared" si="18"/>
        <v>0</v>
      </c>
      <c r="P109" s="478">
        <f t="shared" si="19"/>
        <v>0</v>
      </c>
    </row>
    <row r="110" spans="1:16">
      <c r="B110" s="160" t="str">
        <f t="shared" si="23"/>
        <v/>
      </c>
      <c r="C110" s="472">
        <f>IF(D93="","-",+C109+1)</f>
        <v>2033</v>
      </c>
      <c r="D110" s="63">
        <f>IF(F109+SUM(E$99:E109)=D$92,F109,D$92-SUM(E$99:E109))</f>
        <v>0</v>
      </c>
      <c r="E110" s="69">
        <f t="shared" si="24"/>
        <v>0</v>
      </c>
      <c r="F110" s="68">
        <f t="shared" si="25"/>
        <v>0</v>
      </c>
      <c r="G110" s="68">
        <f t="shared" si="26"/>
        <v>0</v>
      </c>
      <c r="H110" s="130">
        <f t="shared" si="20"/>
        <v>0</v>
      </c>
      <c r="I110" s="139">
        <f t="shared" si="21"/>
        <v>0</v>
      </c>
      <c r="J110" s="67">
        <f t="shared" si="22"/>
        <v>0</v>
      </c>
      <c r="K110" s="478"/>
      <c r="L110" s="487"/>
      <c r="M110" s="478">
        <f t="shared" si="17"/>
        <v>0</v>
      </c>
      <c r="N110" s="487"/>
      <c r="O110" s="478">
        <f t="shared" si="18"/>
        <v>0</v>
      </c>
      <c r="P110" s="478">
        <f t="shared" si="19"/>
        <v>0</v>
      </c>
    </row>
    <row r="111" spans="1:16">
      <c r="B111" s="160" t="str">
        <f t="shared" si="23"/>
        <v/>
      </c>
      <c r="C111" s="472">
        <f>IF(D93="","-",+C110+1)</f>
        <v>2034</v>
      </c>
      <c r="D111" s="63">
        <f>IF(F110+SUM(E$99:E110)=D$92,F110,D$92-SUM(E$99:E110))</f>
        <v>0</v>
      </c>
      <c r="E111" s="69">
        <f t="shared" si="24"/>
        <v>0</v>
      </c>
      <c r="F111" s="68">
        <f t="shared" si="25"/>
        <v>0</v>
      </c>
      <c r="G111" s="68">
        <f t="shared" si="26"/>
        <v>0</v>
      </c>
      <c r="H111" s="130">
        <f t="shared" si="20"/>
        <v>0</v>
      </c>
      <c r="I111" s="139">
        <f t="shared" si="21"/>
        <v>0</v>
      </c>
      <c r="J111" s="67">
        <f t="shared" si="22"/>
        <v>0</v>
      </c>
      <c r="K111" s="478"/>
      <c r="L111" s="487"/>
      <c r="M111" s="478">
        <f t="shared" si="17"/>
        <v>0</v>
      </c>
      <c r="N111" s="487"/>
      <c r="O111" s="478">
        <f t="shared" si="18"/>
        <v>0</v>
      </c>
      <c r="P111" s="478">
        <f t="shared" si="19"/>
        <v>0</v>
      </c>
    </row>
    <row r="112" spans="1:16">
      <c r="B112" s="160" t="str">
        <f t="shared" si="23"/>
        <v/>
      </c>
      <c r="C112" s="472">
        <f>IF(D93="","-",+C111+1)</f>
        <v>2035</v>
      </c>
      <c r="D112" s="63">
        <f>IF(F111+SUM(E$99:E111)=D$92,F111,D$92-SUM(E$99:E111))</f>
        <v>0</v>
      </c>
      <c r="E112" s="69">
        <f t="shared" si="24"/>
        <v>0</v>
      </c>
      <c r="F112" s="68">
        <f t="shared" si="25"/>
        <v>0</v>
      </c>
      <c r="G112" s="68">
        <f t="shared" si="26"/>
        <v>0</v>
      </c>
      <c r="H112" s="130">
        <f t="shared" si="20"/>
        <v>0</v>
      </c>
      <c r="I112" s="139">
        <f t="shared" si="21"/>
        <v>0</v>
      </c>
      <c r="J112" s="67">
        <f t="shared" si="22"/>
        <v>0</v>
      </c>
      <c r="K112" s="478"/>
      <c r="L112" s="487"/>
      <c r="M112" s="478">
        <f t="shared" si="17"/>
        <v>0</v>
      </c>
      <c r="N112" s="487"/>
      <c r="O112" s="478">
        <f t="shared" si="18"/>
        <v>0</v>
      </c>
      <c r="P112" s="478">
        <f t="shared" si="19"/>
        <v>0</v>
      </c>
    </row>
    <row r="113" spans="2:16">
      <c r="B113" s="160" t="str">
        <f t="shared" si="23"/>
        <v/>
      </c>
      <c r="C113" s="472">
        <f>IF(D93="","-",+C112+1)</f>
        <v>2036</v>
      </c>
      <c r="D113" s="63">
        <f>IF(F112+SUM(E$99:E112)=D$92,F112,D$92-SUM(E$99:E112))</f>
        <v>0</v>
      </c>
      <c r="E113" s="69">
        <f t="shared" si="24"/>
        <v>0</v>
      </c>
      <c r="F113" s="68">
        <f t="shared" si="25"/>
        <v>0</v>
      </c>
      <c r="G113" s="68">
        <f t="shared" si="26"/>
        <v>0</v>
      </c>
      <c r="H113" s="130">
        <f t="shared" si="20"/>
        <v>0</v>
      </c>
      <c r="I113" s="139">
        <f t="shared" si="21"/>
        <v>0</v>
      </c>
      <c r="J113" s="67">
        <f t="shared" si="22"/>
        <v>0</v>
      </c>
      <c r="K113" s="478"/>
      <c r="L113" s="487"/>
      <c r="M113" s="478">
        <f t="shared" si="17"/>
        <v>0</v>
      </c>
      <c r="N113" s="487"/>
      <c r="O113" s="478">
        <f t="shared" si="18"/>
        <v>0</v>
      </c>
      <c r="P113" s="478">
        <f t="shared" si="19"/>
        <v>0</v>
      </c>
    </row>
    <row r="114" spans="2:16">
      <c r="B114" s="160" t="str">
        <f t="shared" si="23"/>
        <v/>
      </c>
      <c r="C114" s="472">
        <f>IF(D93="","-",+C113+1)</f>
        <v>2037</v>
      </c>
      <c r="D114" s="63">
        <f>IF(F113+SUM(E$99:E113)=D$92,F113,D$92-SUM(E$99:E113))</f>
        <v>0</v>
      </c>
      <c r="E114" s="69">
        <f t="shared" si="24"/>
        <v>0</v>
      </c>
      <c r="F114" s="68">
        <f t="shared" si="25"/>
        <v>0</v>
      </c>
      <c r="G114" s="68">
        <f t="shared" si="26"/>
        <v>0</v>
      </c>
      <c r="H114" s="130">
        <f t="shared" si="20"/>
        <v>0</v>
      </c>
      <c r="I114" s="139">
        <f t="shared" si="21"/>
        <v>0</v>
      </c>
      <c r="J114" s="67">
        <f t="shared" si="22"/>
        <v>0</v>
      </c>
      <c r="K114" s="478"/>
      <c r="L114" s="487"/>
      <c r="M114" s="478">
        <f t="shared" si="17"/>
        <v>0</v>
      </c>
      <c r="N114" s="487"/>
      <c r="O114" s="478">
        <f t="shared" si="18"/>
        <v>0</v>
      </c>
      <c r="P114" s="478">
        <f t="shared" si="19"/>
        <v>0</v>
      </c>
    </row>
    <row r="115" spans="2:16">
      <c r="B115" s="160" t="str">
        <f t="shared" si="23"/>
        <v/>
      </c>
      <c r="C115" s="472">
        <f>IF(D93="","-",+C114+1)</f>
        <v>2038</v>
      </c>
      <c r="D115" s="63">
        <f>IF(F114+SUM(E$99:E114)=D$92,F114,D$92-SUM(E$99:E114))</f>
        <v>0</v>
      </c>
      <c r="E115" s="69">
        <f t="shared" si="24"/>
        <v>0</v>
      </c>
      <c r="F115" s="68">
        <f t="shared" si="25"/>
        <v>0</v>
      </c>
      <c r="G115" s="68">
        <f t="shared" si="26"/>
        <v>0</v>
      </c>
      <c r="H115" s="130">
        <f t="shared" si="20"/>
        <v>0</v>
      </c>
      <c r="I115" s="139">
        <f t="shared" si="21"/>
        <v>0</v>
      </c>
      <c r="J115" s="67">
        <f t="shared" si="22"/>
        <v>0</v>
      </c>
      <c r="K115" s="478"/>
      <c r="L115" s="487"/>
      <c r="M115" s="478">
        <f t="shared" si="17"/>
        <v>0</v>
      </c>
      <c r="N115" s="487"/>
      <c r="O115" s="478">
        <f t="shared" si="18"/>
        <v>0</v>
      </c>
      <c r="P115" s="478">
        <f t="shared" si="19"/>
        <v>0</v>
      </c>
    </row>
    <row r="116" spans="2:16">
      <c r="B116" s="160" t="str">
        <f t="shared" si="23"/>
        <v/>
      </c>
      <c r="C116" s="472">
        <f>IF(D93="","-",+C115+1)</f>
        <v>2039</v>
      </c>
      <c r="D116" s="63">
        <f>IF(F115+SUM(E$99:E115)=D$92,F115,D$92-SUM(E$99:E115))</f>
        <v>0</v>
      </c>
      <c r="E116" s="69">
        <f t="shared" si="24"/>
        <v>0</v>
      </c>
      <c r="F116" s="68">
        <f t="shared" si="25"/>
        <v>0</v>
      </c>
      <c r="G116" s="68">
        <f t="shared" si="26"/>
        <v>0</v>
      </c>
      <c r="H116" s="130">
        <f t="shared" si="20"/>
        <v>0</v>
      </c>
      <c r="I116" s="139">
        <f t="shared" si="21"/>
        <v>0</v>
      </c>
      <c r="J116" s="67">
        <f t="shared" si="22"/>
        <v>0</v>
      </c>
      <c r="K116" s="478"/>
      <c r="L116" s="487"/>
      <c r="M116" s="478">
        <f t="shared" si="17"/>
        <v>0</v>
      </c>
      <c r="N116" s="487"/>
      <c r="O116" s="478">
        <f t="shared" si="18"/>
        <v>0</v>
      </c>
      <c r="P116" s="478">
        <f t="shared" si="19"/>
        <v>0</v>
      </c>
    </row>
    <row r="117" spans="2:16">
      <c r="B117" s="160" t="str">
        <f t="shared" si="23"/>
        <v/>
      </c>
      <c r="C117" s="472">
        <f>IF(D93="","-",+C116+1)</f>
        <v>2040</v>
      </c>
      <c r="D117" s="63">
        <f>IF(F116+SUM(E$99:E116)=D$92,F116,D$92-SUM(E$99:E116))</f>
        <v>0</v>
      </c>
      <c r="E117" s="69">
        <f t="shared" si="24"/>
        <v>0</v>
      </c>
      <c r="F117" s="68">
        <f t="shared" si="25"/>
        <v>0</v>
      </c>
      <c r="G117" s="68">
        <f t="shared" si="26"/>
        <v>0</v>
      </c>
      <c r="H117" s="130">
        <f t="shared" si="20"/>
        <v>0</v>
      </c>
      <c r="I117" s="139">
        <f t="shared" si="21"/>
        <v>0</v>
      </c>
      <c r="J117" s="67">
        <f t="shared" si="22"/>
        <v>0</v>
      </c>
      <c r="K117" s="478"/>
      <c r="L117" s="487"/>
      <c r="M117" s="478">
        <f t="shared" si="17"/>
        <v>0</v>
      </c>
      <c r="N117" s="487"/>
      <c r="O117" s="478">
        <f t="shared" si="18"/>
        <v>0</v>
      </c>
      <c r="P117" s="478">
        <f t="shared" si="19"/>
        <v>0</v>
      </c>
    </row>
    <row r="118" spans="2:16">
      <c r="B118" s="160" t="str">
        <f t="shared" si="23"/>
        <v/>
      </c>
      <c r="C118" s="472">
        <f>IF(D93="","-",+C117+1)</f>
        <v>2041</v>
      </c>
      <c r="D118" s="63">
        <f>IF(F117+SUM(E$99:E117)=D$92,F117,D$92-SUM(E$99:E117))</f>
        <v>0</v>
      </c>
      <c r="E118" s="69">
        <f t="shared" si="24"/>
        <v>0</v>
      </c>
      <c r="F118" s="68">
        <f t="shared" si="25"/>
        <v>0</v>
      </c>
      <c r="G118" s="68">
        <f t="shared" si="26"/>
        <v>0</v>
      </c>
      <c r="H118" s="130">
        <f t="shared" si="20"/>
        <v>0</v>
      </c>
      <c r="I118" s="139">
        <f t="shared" si="21"/>
        <v>0</v>
      </c>
      <c r="J118" s="67">
        <f t="shared" si="22"/>
        <v>0</v>
      </c>
      <c r="K118" s="478"/>
      <c r="L118" s="487"/>
      <c r="M118" s="478">
        <f t="shared" si="17"/>
        <v>0</v>
      </c>
      <c r="N118" s="487"/>
      <c r="O118" s="478">
        <f t="shared" si="18"/>
        <v>0</v>
      </c>
      <c r="P118" s="478">
        <f t="shared" si="19"/>
        <v>0</v>
      </c>
    </row>
    <row r="119" spans="2:16">
      <c r="B119" s="160" t="str">
        <f t="shared" si="23"/>
        <v/>
      </c>
      <c r="C119" s="472">
        <f>IF(D93="","-",+C118+1)</f>
        <v>2042</v>
      </c>
      <c r="D119" s="63">
        <f>IF(F118+SUM(E$99:E118)=D$92,F118,D$92-SUM(E$99:E118))</f>
        <v>0</v>
      </c>
      <c r="E119" s="69">
        <f t="shared" si="24"/>
        <v>0</v>
      </c>
      <c r="F119" s="68">
        <f t="shared" si="25"/>
        <v>0</v>
      </c>
      <c r="G119" s="68">
        <f t="shared" si="26"/>
        <v>0</v>
      </c>
      <c r="H119" s="130">
        <f t="shared" si="20"/>
        <v>0</v>
      </c>
      <c r="I119" s="139">
        <f t="shared" si="21"/>
        <v>0</v>
      </c>
      <c r="J119" s="67">
        <f t="shared" si="22"/>
        <v>0</v>
      </c>
      <c r="K119" s="478"/>
      <c r="L119" s="487"/>
      <c r="M119" s="478">
        <f t="shared" si="17"/>
        <v>0</v>
      </c>
      <c r="N119" s="487"/>
      <c r="O119" s="478">
        <f t="shared" si="18"/>
        <v>0</v>
      </c>
      <c r="P119" s="478">
        <f t="shared" si="19"/>
        <v>0</v>
      </c>
    </row>
    <row r="120" spans="2:16">
      <c r="B120" s="160" t="str">
        <f t="shared" si="23"/>
        <v/>
      </c>
      <c r="C120" s="472">
        <f>IF(D93="","-",+C119+1)</f>
        <v>2043</v>
      </c>
      <c r="D120" s="63">
        <f>IF(F119+SUM(E$99:E119)=D$92,F119,D$92-SUM(E$99:E119))</f>
        <v>0</v>
      </c>
      <c r="E120" s="69">
        <f t="shared" si="24"/>
        <v>0</v>
      </c>
      <c r="F120" s="68">
        <f t="shared" si="25"/>
        <v>0</v>
      </c>
      <c r="G120" s="68">
        <f t="shared" si="26"/>
        <v>0</v>
      </c>
      <c r="H120" s="130">
        <f t="shared" si="20"/>
        <v>0</v>
      </c>
      <c r="I120" s="139">
        <f t="shared" si="21"/>
        <v>0</v>
      </c>
      <c r="J120" s="67">
        <f t="shared" si="22"/>
        <v>0</v>
      </c>
      <c r="K120" s="478"/>
      <c r="L120" s="487"/>
      <c r="M120" s="478">
        <f t="shared" si="17"/>
        <v>0</v>
      </c>
      <c r="N120" s="487"/>
      <c r="O120" s="478">
        <f t="shared" si="18"/>
        <v>0</v>
      </c>
      <c r="P120" s="478">
        <f t="shared" si="19"/>
        <v>0</v>
      </c>
    </row>
    <row r="121" spans="2:16">
      <c r="B121" s="160" t="str">
        <f t="shared" si="23"/>
        <v/>
      </c>
      <c r="C121" s="472">
        <f>IF(D93="","-",+C120+1)</f>
        <v>2044</v>
      </c>
      <c r="D121" s="63">
        <f>IF(F120+SUM(E$99:E120)=D$92,F120,D$92-SUM(E$99:E120))</f>
        <v>0</v>
      </c>
      <c r="E121" s="69">
        <f t="shared" si="24"/>
        <v>0</v>
      </c>
      <c r="F121" s="68">
        <f t="shared" si="25"/>
        <v>0</v>
      </c>
      <c r="G121" s="68">
        <f t="shared" si="26"/>
        <v>0</v>
      </c>
      <c r="H121" s="130">
        <f t="shared" si="20"/>
        <v>0</v>
      </c>
      <c r="I121" s="139">
        <f t="shared" si="21"/>
        <v>0</v>
      </c>
      <c r="J121" s="67">
        <f t="shared" si="22"/>
        <v>0</v>
      </c>
      <c r="K121" s="478"/>
      <c r="L121" s="487"/>
      <c r="M121" s="478">
        <f t="shared" si="17"/>
        <v>0</v>
      </c>
      <c r="N121" s="487"/>
      <c r="O121" s="478">
        <f t="shared" si="18"/>
        <v>0</v>
      </c>
      <c r="P121" s="478">
        <f t="shared" si="19"/>
        <v>0</v>
      </c>
    </row>
    <row r="122" spans="2:16">
      <c r="B122" s="160" t="str">
        <f t="shared" si="23"/>
        <v/>
      </c>
      <c r="C122" s="472">
        <f>IF(D93="","-",+C121+1)</f>
        <v>2045</v>
      </c>
      <c r="D122" s="63">
        <f>IF(F121+SUM(E$99:E121)=D$92,F121,D$92-SUM(E$99:E121))</f>
        <v>0</v>
      </c>
      <c r="E122" s="69">
        <f t="shared" si="24"/>
        <v>0</v>
      </c>
      <c r="F122" s="68">
        <f t="shared" si="25"/>
        <v>0</v>
      </c>
      <c r="G122" s="68">
        <f t="shared" si="26"/>
        <v>0</v>
      </c>
      <c r="H122" s="130">
        <f t="shared" si="20"/>
        <v>0</v>
      </c>
      <c r="I122" s="139">
        <f t="shared" si="21"/>
        <v>0</v>
      </c>
      <c r="J122" s="67">
        <f t="shared" si="22"/>
        <v>0</v>
      </c>
      <c r="K122" s="478"/>
      <c r="L122" s="487"/>
      <c r="M122" s="478">
        <f t="shared" si="17"/>
        <v>0</v>
      </c>
      <c r="N122" s="487"/>
      <c r="O122" s="478">
        <f t="shared" si="18"/>
        <v>0</v>
      </c>
      <c r="P122" s="478">
        <f t="shared" si="19"/>
        <v>0</v>
      </c>
    </row>
    <row r="123" spans="2:16">
      <c r="B123" s="160" t="str">
        <f t="shared" si="23"/>
        <v/>
      </c>
      <c r="C123" s="472">
        <f>IF(D93="","-",+C122+1)</f>
        <v>2046</v>
      </c>
      <c r="D123" s="63">
        <f>IF(F122+SUM(E$99:E122)=D$92,F122,D$92-SUM(E$99:E122))</f>
        <v>0</v>
      </c>
      <c r="E123" s="69">
        <f t="shared" si="24"/>
        <v>0</v>
      </c>
      <c r="F123" s="68">
        <f t="shared" si="25"/>
        <v>0</v>
      </c>
      <c r="G123" s="68">
        <f t="shared" si="26"/>
        <v>0</v>
      </c>
      <c r="H123" s="130">
        <f t="shared" si="20"/>
        <v>0</v>
      </c>
      <c r="I123" s="139">
        <f t="shared" si="21"/>
        <v>0</v>
      </c>
      <c r="J123" s="67">
        <f t="shared" si="22"/>
        <v>0</v>
      </c>
      <c r="K123" s="478"/>
      <c r="L123" s="487"/>
      <c r="M123" s="478">
        <f t="shared" si="17"/>
        <v>0</v>
      </c>
      <c r="N123" s="487"/>
      <c r="O123" s="478">
        <f t="shared" si="18"/>
        <v>0</v>
      </c>
      <c r="P123" s="478">
        <f t="shared" si="19"/>
        <v>0</v>
      </c>
    </row>
    <row r="124" spans="2:16">
      <c r="B124" s="160" t="str">
        <f t="shared" si="23"/>
        <v/>
      </c>
      <c r="C124" s="472">
        <f>IF(D93="","-",+C123+1)</f>
        <v>2047</v>
      </c>
      <c r="D124" s="63">
        <f>IF(F123+SUM(E$99:E123)=D$92,F123,D$92-SUM(E$99:E123))</f>
        <v>0</v>
      </c>
      <c r="E124" s="69">
        <f t="shared" si="24"/>
        <v>0</v>
      </c>
      <c r="F124" s="68">
        <f t="shared" si="25"/>
        <v>0</v>
      </c>
      <c r="G124" s="68">
        <f t="shared" si="26"/>
        <v>0</v>
      </c>
      <c r="H124" s="130">
        <f t="shared" si="20"/>
        <v>0</v>
      </c>
      <c r="I124" s="139">
        <f t="shared" si="21"/>
        <v>0</v>
      </c>
      <c r="J124" s="67">
        <f t="shared" si="22"/>
        <v>0</v>
      </c>
      <c r="K124" s="478"/>
      <c r="L124" s="487"/>
      <c r="M124" s="478">
        <f t="shared" si="17"/>
        <v>0</v>
      </c>
      <c r="N124" s="487"/>
      <c r="O124" s="478">
        <f t="shared" si="18"/>
        <v>0</v>
      </c>
      <c r="P124" s="478">
        <f t="shared" si="19"/>
        <v>0</v>
      </c>
    </row>
    <row r="125" spans="2:16">
      <c r="B125" s="160" t="str">
        <f t="shared" si="23"/>
        <v/>
      </c>
      <c r="C125" s="472">
        <f>IF(D93="","-",+C124+1)</f>
        <v>2048</v>
      </c>
      <c r="D125" s="63">
        <f>IF(F124+SUM(E$99:E124)=D$92,F124,D$92-SUM(E$99:E124))</f>
        <v>0</v>
      </c>
      <c r="E125" s="69">
        <f t="shared" si="24"/>
        <v>0</v>
      </c>
      <c r="F125" s="68">
        <f t="shared" si="25"/>
        <v>0</v>
      </c>
      <c r="G125" s="68">
        <f t="shared" si="26"/>
        <v>0</v>
      </c>
      <c r="H125" s="130">
        <f t="shared" si="20"/>
        <v>0</v>
      </c>
      <c r="I125" s="139">
        <f t="shared" si="21"/>
        <v>0</v>
      </c>
      <c r="J125" s="67">
        <f t="shared" si="22"/>
        <v>0</v>
      </c>
      <c r="K125" s="478"/>
      <c r="L125" s="487"/>
      <c r="M125" s="478">
        <f t="shared" si="17"/>
        <v>0</v>
      </c>
      <c r="N125" s="487"/>
      <c r="O125" s="478">
        <f t="shared" si="18"/>
        <v>0</v>
      </c>
      <c r="P125" s="478">
        <f t="shared" si="19"/>
        <v>0</v>
      </c>
    </row>
    <row r="126" spans="2:16">
      <c r="B126" s="160" t="str">
        <f t="shared" si="23"/>
        <v/>
      </c>
      <c r="C126" s="472">
        <f>IF(D93="","-",+C125+1)</f>
        <v>2049</v>
      </c>
      <c r="D126" s="63">
        <f>IF(F125+SUM(E$99:E125)=D$92,F125,D$92-SUM(E$99:E125))</f>
        <v>0</v>
      </c>
      <c r="E126" s="69">
        <f t="shared" si="24"/>
        <v>0</v>
      </c>
      <c r="F126" s="68">
        <f t="shared" si="25"/>
        <v>0</v>
      </c>
      <c r="G126" s="68">
        <f t="shared" si="26"/>
        <v>0</v>
      </c>
      <c r="H126" s="130">
        <f t="shared" si="20"/>
        <v>0</v>
      </c>
      <c r="I126" s="139">
        <f t="shared" si="21"/>
        <v>0</v>
      </c>
      <c r="J126" s="67">
        <f t="shared" si="22"/>
        <v>0</v>
      </c>
      <c r="K126" s="478"/>
      <c r="L126" s="487"/>
      <c r="M126" s="478">
        <f t="shared" si="17"/>
        <v>0</v>
      </c>
      <c r="N126" s="487"/>
      <c r="O126" s="478">
        <f t="shared" si="18"/>
        <v>0</v>
      </c>
      <c r="P126" s="478">
        <f t="shared" si="19"/>
        <v>0</v>
      </c>
    </row>
    <row r="127" spans="2:16">
      <c r="B127" s="160" t="str">
        <f t="shared" si="23"/>
        <v/>
      </c>
      <c r="C127" s="472">
        <f>IF(D93="","-",+C126+1)</f>
        <v>2050</v>
      </c>
      <c r="D127" s="63">
        <f>IF(F126+SUM(E$99:E126)=D$92,F126,D$92-SUM(E$99:E126))</f>
        <v>0</v>
      </c>
      <c r="E127" s="69">
        <f t="shared" si="24"/>
        <v>0</v>
      </c>
      <c r="F127" s="68">
        <f t="shared" si="25"/>
        <v>0</v>
      </c>
      <c r="G127" s="68">
        <f t="shared" si="26"/>
        <v>0</v>
      </c>
      <c r="H127" s="130">
        <f t="shared" si="20"/>
        <v>0</v>
      </c>
      <c r="I127" s="139">
        <f t="shared" si="21"/>
        <v>0</v>
      </c>
      <c r="J127" s="67">
        <f t="shared" si="22"/>
        <v>0</v>
      </c>
      <c r="K127" s="478"/>
      <c r="L127" s="487"/>
      <c r="M127" s="478">
        <f t="shared" si="17"/>
        <v>0</v>
      </c>
      <c r="N127" s="487"/>
      <c r="O127" s="478">
        <f t="shared" si="18"/>
        <v>0</v>
      </c>
      <c r="P127" s="478">
        <f t="shared" si="19"/>
        <v>0</v>
      </c>
    </row>
    <row r="128" spans="2:16">
      <c r="B128" s="160" t="str">
        <f t="shared" si="23"/>
        <v/>
      </c>
      <c r="C128" s="472">
        <f>IF(D93="","-",+C127+1)</f>
        <v>2051</v>
      </c>
      <c r="D128" s="63">
        <f>IF(F127+SUM(E$99:E127)=D$92,F127,D$92-SUM(E$99:E127))</f>
        <v>0</v>
      </c>
      <c r="E128" s="69">
        <f t="shared" si="24"/>
        <v>0</v>
      </c>
      <c r="F128" s="68">
        <f t="shared" si="25"/>
        <v>0</v>
      </c>
      <c r="G128" s="68">
        <f t="shared" si="26"/>
        <v>0</v>
      </c>
      <c r="H128" s="130">
        <f t="shared" si="20"/>
        <v>0</v>
      </c>
      <c r="I128" s="139">
        <f t="shared" si="21"/>
        <v>0</v>
      </c>
      <c r="J128" s="67">
        <f t="shared" si="22"/>
        <v>0</v>
      </c>
      <c r="K128" s="478"/>
      <c r="L128" s="487"/>
      <c r="M128" s="478">
        <f t="shared" si="17"/>
        <v>0</v>
      </c>
      <c r="N128" s="487"/>
      <c r="O128" s="478">
        <f t="shared" si="18"/>
        <v>0</v>
      </c>
      <c r="P128" s="478">
        <f t="shared" si="19"/>
        <v>0</v>
      </c>
    </row>
    <row r="129" spans="2:16">
      <c r="B129" s="160" t="str">
        <f t="shared" si="23"/>
        <v/>
      </c>
      <c r="C129" s="472">
        <f>IF(D93="","-",+C128+1)</f>
        <v>2052</v>
      </c>
      <c r="D129" s="63">
        <f>IF(F128+SUM(E$99:E128)=D$92,F128,D$92-SUM(E$99:E128))</f>
        <v>0</v>
      </c>
      <c r="E129" s="69">
        <f t="shared" si="24"/>
        <v>0</v>
      </c>
      <c r="F129" s="68">
        <f t="shared" si="25"/>
        <v>0</v>
      </c>
      <c r="G129" s="68">
        <f t="shared" si="26"/>
        <v>0</v>
      </c>
      <c r="H129" s="130">
        <f t="shared" si="20"/>
        <v>0</v>
      </c>
      <c r="I129" s="139">
        <f t="shared" si="21"/>
        <v>0</v>
      </c>
      <c r="J129" s="67">
        <f t="shared" si="22"/>
        <v>0</v>
      </c>
      <c r="K129" s="478"/>
      <c r="L129" s="487"/>
      <c r="M129" s="478">
        <f t="shared" si="17"/>
        <v>0</v>
      </c>
      <c r="N129" s="487"/>
      <c r="O129" s="478">
        <f t="shared" si="18"/>
        <v>0</v>
      </c>
      <c r="P129" s="478">
        <f t="shared" si="19"/>
        <v>0</v>
      </c>
    </row>
    <row r="130" spans="2:16">
      <c r="B130" s="160" t="str">
        <f t="shared" si="23"/>
        <v/>
      </c>
      <c r="C130" s="472">
        <f>IF(D93="","-",+C129+1)</f>
        <v>2053</v>
      </c>
      <c r="D130" s="63">
        <f>IF(F129+SUM(E$99:E129)=D$92,F129,D$92-SUM(E$99:E129))</f>
        <v>0</v>
      </c>
      <c r="E130" s="69">
        <f t="shared" si="24"/>
        <v>0</v>
      </c>
      <c r="F130" s="68">
        <f t="shared" si="25"/>
        <v>0</v>
      </c>
      <c r="G130" s="68">
        <f t="shared" si="26"/>
        <v>0</v>
      </c>
      <c r="H130" s="130">
        <f t="shared" si="20"/>
        <v>0</v>
      </c>
      <c r="I130" s="139">
        <f t="shared" si="21"/>
        <v>0</v>
      </c>
      <c r="J130" s="67">
        <f t="shared" si="22"/>
        <v>0</v>
      </c>
      <c r="K130" s="478"/>
      <c r="L130" s="487"/>
      <c r="M130" s="478">
        <f t="shared" si="17"/>
        <v>0</v>
      </c>
      <c r="N130" s="487"/>
      <c r="O130" s="478">
        <f t="shared" si="18"/>
        <v>0</v>
      </c>
      <c r="P130" s="478">
        <f t="shared" si="19"/>
        <v>0</v>
      </c>
    </row>
    <row r="131" spans="2:16">
      <c r="B131" s="160" t="str">
        <f t="shared" si="23"/>
        <v/>
      </c>
      <c r="C131" s="472">
        <f>IF(D93="","-",+C130+1)</f>
        <v>2054</v>
      </c>
      <c r="D131" s="63">
        <f>IF(F130+SUM(E$99:E130)=D$92,F130,D$92-SUM(E$99:E130))</f>
        <v>0</v>
      </c>
      <c r="E131" s="69">
        <f t="shared" si="24"/>
        <v>0</v>
      </c>
      <c r="F131" s="68">
        <f t="shared" si="25"/>
        <v>0</v>
      </c>
      <c r="G131" s="68">
        <f t="shared" si="26"/>
        <v>0</v>
      </c>
      <c r="H131" s="130">
        <f t="shared" si="20"/>
        <v>0</v>
      </c>
      <c r="I131" s="139">
        <f t="shared" si="21"/>
        <v>0</v>
      </c>
      <c r="J131" s="67">
        <f t="shared" ref="J131:J154" si="27">+I541-H541</f>
        <v>0</v>
      </c>
      <c r="K131" s="478"/>
      <c r="L131" s="487"/>
      <c r="M131" s="478">
        <f t="shared" ref="M131:M154" si="28">IF(L541&lt;&gt;0,+H541-L541,0)</f>
        <v>0</v>
      </c>
      <c r="N131" s="487"/>
      <c r="O131" s="478">
        <f t="shared" ref="O131:O154" si="29">IF(N541&lt;&gt;0,+I541-N541,0)</f>
        <v>0</v>
      </c>
      <c r="P131" s="478">
        <f t="shared" ref="P131:P154" si="30">+O541-M541</f>
        <v>0</v>
      </c>
    </row>
    <row r="132" spans="2:16">
      <c r="B132" s="160" t="str">
        <f t="shared" si="23"/>
        <v/>
      </c>
      <c r="C132" s="472">
        <f>IF(D93="","-",+C131+1)</f>
        <v>2055</v>
      </c>
      <c r="D132" s="63">
        <f>IF(F131+SUM(E$99:E131)=D$92,F131,D$92-SUM(E$99:E131))</f>
        <v>0</v>
      </c>
      <c r="E132" s="69">
        <f t="shared" si="24"/>
        <v>0</v>
      </c>
      <c r="F132" s="68">
        <f t="shared" si="25"/>
        <v>0</v>
      </c>
      <c r="G132" s="68">
        <f t="shared" si="26"/>
        <v>0</v>
      </c>
      <c r="H132" s="130">
        <f t="shared" si="20"/>
        <v>0</v>
      </c>
      <c r="I132" s="139">
        <f t="shared" si="21"/>
        <v>0</v>
      </c>
      <c r="J132" s="67">
        <f t="shared" si="27"/>
        <v>0</v>
      </c>
      <c r="K132" s="478"/>
      <c r="L132" s="487"/>
      <c r="M132" s="478">
        <f t="shared" si="28"/>
        <v>0</v>
      </c>
      <c r="N132" s="487"/>
      <c r="O132" s="478">
        <f t="shared" si="29"/>
        <v>0</v>
      </c>
      <c r="P132" s="478">
        <f t="shared" si="30"/>
        <v>0</v>
      </c>
    </row>
    <row r="133" spans="2:16">
      <c r="B133" s="160" t="str">
        <f t="shared" si="23"/>
        <v/>
      </c>
      <c r="C133" s="472">
        <f>IF(D93="","-",+C132+1)</f>
        <v>2056</v>
      </c>
      <c r="D133" s="63">
        <f>IF(F132+SUM(E$99:E132)=D$92,F132,D$92-SUM(E$99:E132))</f>
        <v>0</v>
      </c>
      <c r="E133" s="69">
        <f t="shared" si="24"/>
        <v>0</v>
      </c>
      <c r="F133" s="68">
        <f t="shared" si="25"/>
        <v>0</v>
      </c>
      <c r="G133" s="68">
        <f t="shared" si="26"/>
        <v>0</v>
      </c>
      <c r="H133" s="130">
        <f t="shared" si="20"/>
        <v>0</v>
      </c>
      <c r="I133" s="139">
        <f t="shared" si="21"/>
        <v>0</v>
      </c>
      <c r="J133" s="67">
        <f t="shared" si="27"/>
        <v>0</v>
      </c>
      <c r="K133" s="478"/>
      <c r="L133" s="487"/>
      <c r="M133" s="478">
        <f t="shared" si="28"/>
        <v>0</v>
      </c>
      <c r="N133" s="487"/>
      <c r="O133" s="478">
        <f t="shared" si="29"/>
        <v>0</v>
      </c>
      <c r="P133" s="478">
        <f t="shared" si="30"/>
        <v>0</v>
      </c>
    </row>
    <row r="134" spans="2:16">
      <c r="B134" s="160" t="str">
        <f t="shared" si="23"/>
        <v/>
      </c>
      <c r="C134" s="472">
        <f>IF(D93="","-",+C133+1)</f>
        <v>2057</v>
      </c>
      <c r="D134" s="63">
        <f>IF(F133+SUM(E$99:E133)=D$92,F133,D$92-SUM(E$99:E133))</f>
        <v>0</v>
      </c>
      <c r="E134" s="69">
        <f t="shared" si="24"/>
        <v>0</v>
      </c>
      <c r="F134" s="68">
        <f t="shared" si="25"/>
        <v>0</v>
      </c>
      <c r="G134" s="68">
        <f t="shared" si="26"/>
        <v>0</v>
      </c>
      <c r="H134" s="130">
        <f t="shared" si="20"/>
        <v>0</v>
      </c>
      <c r="I134" s="139">
        <f t="shared" si="21"/>
        <v>0</v>
      </c>
      <c r="J134" s="67">
        <f t="shared" si="27"/>
        <v>0</v>
      </c>
      <c r="K134" s="478"/>
      <c r="L134" s="487"/>
      <c r="M134" s="478">
        <f t="shared" si="28"/>
        <v>0</v>
      </c>
      <c r="N134" s="487"/>
      <c r="O134" s="478">
        <f t="shared" si="29"/>
        <v>0</v>
      </c>
      <c r="P134" s="478">
        <f t="shared" si="30"/>
        <v>0</v>
      </c>
    </row>
    <row r="135" spans="2:16">
      <c r="B135" s="160" t="str">
        <f t="shared" si="23"/>
        <v/>
      </c>
      <c r="C135" s="472">
        <f>IF(D93="","-",+C134+1)</f>
        <v>2058</v>
      </c>
      <c r="D135" s="63">
        <f>IF(F134+SUM(E$99:E134)=D$92,F134,D$92-SUM(E$99:E134))</f>
        <v>0</v>
      </c>
      <c r="E135" s="69">
        <f t="shared" si="24"/>
        <v>0</v>
      </c>
      <c r="F135" s="68">
        <f t="shared" si="25"/>
        <v>0</v>
      </c>
      <c r="G135" s="68">
        <f t="shared" si="26"/>
        <v>0</v>
      </c>
      <c r="H135" s="130">
        <f t="shared" si="20"/>
        <v>0</v>
      </c>
      <c r="I135" s="139">
        <f t="shared" si="21"/>
        <v>0</v>
      </c>
      <c r="J135" s="67">
        <f t="shared" si="27"/>
        <v>0</v>
      </c>
      <c r="K135" s="478"/>
      <c r="L135" s="487"/>
      <c r="M135" s="478">
        <f t="shared" si="28"/>
        <v>0</v>
      </c>
      <c r="N135" s="487"/>
      <c r="O135" s="478">
        <f t="shared" si="29"/>
        <v>0</v>
      </c>
      <c r="P135" s="478">
        <f t="shared" si="30"/>
        <v>0</v>
      </c>
    </row>
    <row r="136" spans="2:16">
      <c r="B136" s="160" t="str">
        <f t="shared" si="23"/>
        <v/>
      </c>
      <c r="C136" s="472">
        <f>IF(D93="","-",+C135+1)</f>
        <v>2059</v>
      </c>
      <c r="D136" s="63">
        <f>IF(F135+SUM(E$99:E135)=D$92,F135,D$92-SUM(E$99:E135))</f>
        <v>0</v>
      </c>
      <c r="E136" s="69">
        <f t="shared" si="24"/>
        <v>0</v>
      </c>
      <c r="F136" s="68">
        <f t="shared" si="25"/>
        <v>0</v>
      </c>
      <c r="G136" s="68">
        <f t="shared" si="26"/>
        <v>0</v>
      </c>
      <c r="H136" s="130">
        <f t="shared" si="20"/>
        <v>0</v>
      </c>
      <c r="I136" s="139">
        <f t="shared" si="21"/>
        <v>0</v>
      </c>
      <c r="J136" s="67">
        <f t="shared" si="27"/>
        <v>0</v>
      </c>
      <c r="K136" s="478"/>
      <c r="L136" s="487"/>
      <c r="M136" s="478">
        <f t="shared" si="28"/>
        <v>0</v>
      </c>
      <c r="N136" s="487"/>
      <c r="O136" s="478">
        <f t="shared" si="29"/>
        <v>0</v>
      </c>
      <c r="P136" s="478">
        <f t="shared" si="30"/>
        <v>0</v>
      </c>
    </row>
    <row r="137" spans="2:16">
      <c r="B137" s="160" t="str">
        <f t="shared" si="23"/>
        <v/>
      </c>
      <c r="C137" s="472">
        <f>IF(D93="","-",+C136+1)</f>
        <v>2060</v>
      </c>
      <c r="D137" s="63">
        <f>IF(F136+SUM(E$99:E136)=D$92,F136,D$92-SUM(E$99:E136))</f>
        <v>0</v>
      </c>
      <c r="E137" s="69">
        <f t="shared" si="24"/>
        <v>0</v>
      </c>
      <c r="F137" s="68">
        <f t="shared" si="25"/>
        <v>0</v>
      </c>
      <c r="G137" s="68">
        <f t="shared" si="26"/>
        <v>0</v>
      </c>
      <c r="H137" s="130">
        <f t="shared" si="20"/>
        <v>0</v>
      </c>
      <c r="I137" s="139">
        <f t="shared" si="21"/>
        <v>0</v>
      </c>
      <c r="J137" s="67">
        <f t="shared" si="27"/>
        <v>0</v>
      </c>
      <c r="K137" s="478"/>
      <c r="L137" s="487"/>
      <c r="M137" s="478">
        <f t="shared" si="28"/>
        <v>0</v>
      </c>
      <c r="N137" s="487"/>
      <c r="O137" s="478">
        <f t="shared" si="29"/>
        <v>0</v>
      </c>
      <c r="P137" s="478">
        <f t="shared" si="30"/>
        <v>0</v>
      </c>
    </row>
    <row r="138" spans="2:16">
      <c r="B138" s="160" t="str">
        <f t="shared" si="23"/>
        <v/>
      </c>
      <c r="C138" s="472">
        <f>IF(D93="","-",+C137+1)</f>
        <v>2061</v>
      </c>
      <c r="D138" s="63">
        <f>IF(F137+SUM(E$99:E137)=D$92,F137,D$92-SUM(E$99:E137))</f>
        <v>0</v>
      </c>
      <c r="E138" s="69">
        <f t="shared" si="24"/>
        <v>0</v>
      </c>
      <c r="F138" s="68">
        <f t="shared" si="25"/>
        <v>0</v>
      </c>
      <c r="G138" s="68">
        <f t="shared" si="26"/>
        <v>0</v>
      </c>
      <c r="H138" s="130">
        <f t="shared" si="20"/>
        <v>0</v>
      </c>
      <c r="I138" s="139">
        <f t="shared" si="21"/>
        <v>0</v>
      </c>
      <c r="J138" s="67">
        <f t="shared" si="27"/>
        <v>0</v>
      </c>
      <c r="K138" s="478"/>
      <c r="L138" s="487"/>
      <c r="M138" s="478">
        <f t="shared" si="28"/>
        <v>0</v>
      </c>
      <c r="N138" s="487"/>
      <c r="O138" s="478">
        <f t="shared" si="29"/>
        <v>0</v>
      </c>
      <c r="P138" s="478">
        <f t="shared" si="30"/>
        <v>0</v>
      </c>
    </row>
    <row r="139" spans="2:16">
      <c r="B139" s="160" t="str">
        <f t="shared" si="23"/>
        <v/>
      </c>
      <c r="C139" s="472">
        <f>IF(D93="","-",+C138+1)</f>
        <v>2062</v>
      </c>
      <c r="D139" s="63">
        <f>IF(F138+SUM(E$99:E138)=D$92,F138,D$92-SUM(E$99:E138))</f>
        <v>0</v>
      </c>
      <c r="E139" s="69">
        <f t="shared" si="24"/>
        <v>0</v>
      </c>
      <c r="F139" s="68">
        <f t="shared" si="25"/>
        <v>0</v>
      </c>
      <c r="G139" s="68">
        <f t="shared" si="26"/>
        <v>0</v>
      </c>
      <c r="H139" s="130">
        <f t="shared" si="20"/>
        <v>0</v>
      </c>
      <c r="I139" s="139">
        <f t="shared" si="21"/>
        <v>0</v>
      </c>
      <c r="J139" s="67">
        <f t="shared" si="27"/>
        <v>0</v>
      </c>
      <c r="K139" s="478"/>
      <c r="L139" s="487"/>
      <c r="M139" s="478">
        <f t="shared" si="28"/>
        <v>0</v>
      </c>
      <c r="N139" s="487"/>
      <c r="O139" s="478">
        <f t="shared" si="29"/>
        <v>0</v>
      </c>
      <c r="P139" s="478">
        <f t="shared" si="30"/>
        <v>0</v>
      </c>
    </row>
    <row r="140" spans="2:16">
      <c r="B140" s="160" t="str">
        <f t="shared" si="23"/>
        <v/>
      </c>
      <c r="C140" s="472">
        <f>IF(D93="","-",+C139+1)</f>
        <v>2063</v>
      </c>
      <c r="D140" s="63">
        <f>IF(F139+SUM(E$99:E139)=D$92,F139,D$92-SUM(E$99:E139))</f>
        <v>0</v>
      </c>
      <c r="E140" s="69">
        <f t="shared" si="24"/>
        <v>0</v>
      </c>
      <c r="F140" s="68">
        <f t="shared" si="25"/>
        <v>0</v>
      </c>
      <c r="G140" s="68">
        <f t="shared" si="26"/>
        <v>0</v>
      </c>
      <c r="H140" s="130">
        <f t="shared" si="20"/>
        <v>0</v>
      </c>
      <c r="I140" s="139">
        <f t="shared" si="21"/>
        <v>0</v>
      </c>
      <c r="J140" s="67">
        <f t="shared" si="27"/>
        <v>0</v>
      </c>
      <c r="K140" s="478"/>
      <c r="L140" s="487"/>
      <c r="M140" s="478">
        <f t="shared" si="28"/>
        <v>0</v>
      </c>
      <c r="N140" s="487"/>
      <c r="O140" s="478">
        <f t="shared" si="29"/>
        <v>0</v>
      </c>
      <c r="P140" s="478">
        <f t="shared" si="30"/>
        <v>0</v>
      </c>
    </row>
    <row r="141" spans="2:16">
      <c r="B141" s="160" t="str">
        <f t="shared" si="23"/>
        <v/>
      </c>
      <c r="C141" s="472">
        <f>IF(D93="","-",+C140+1)</f>
        <v>2064</v>
      </c>
      <c r="D141" s="63">
        <f>IF(F140+SUM(E$99:E140)=D$92,F140,D$92-SUM(E$99:E140))</f>
        <v>0</v>
      </c>
      <c r="E141" s="69">
        <f t="shared" si="24"/>
        <v>0</v>
      </c>
      <c r="F141" s="68">
        <f t="shared" si="25"/>
        <v>0</v>
      </c>
      <c r="G141" s="68">
        <f t="shared" si="26"/>
        <v>0</v>
      </c>
      <c r="H141" s="130">
        <f t="shared" si="20"/>
        <v>0</v>
      </c>
      <c r="I141" s="139">
        <f t="shared" si="21"/>
        <v>0</v>
      </c>
      <c r="J141" s="67">
        <f t="shared" si="27"/>
        <v>0</v>
      </c>
      <c r="K141" s="478"/>
      <c r="L141" s="487"/>
      <c r="M141" s="478">
        <f t="shared" si="28"/>
        <v>0</v>
      </c>
      <c r="N141" s="487"/>
      <c r="O141" s="478">
        <f t="shared" si="29"/>
        <v>0</v>
      </c>
      <c r="P141" s="478">
        <f t="shared" si="30"/>
        <v>0</v>
      </c>
    </row>
    <row r="142" spans="2:16">
      <c r="B142" s="160" t="str">
        <f t="shared" si="23"/>
        <v/>
      </c>
      <c r="C142" s="472">
        <f>IF(D93="","-",+C141+1)</f>
        <v>2065</v>
      </c>
      <c r="D142" s="63">
        <f>IF(F141+SUM(E$99:E141)=D$92,F141,D$92-SUM(E$99:E141))</f>
        <v>0</v>
      </c>
      <c r="E142" s="69">
        <f t="shared" si="24"/>
        <v>0</v>
      </c>
      <c r="F142" s="68">
        <f t="shared" si="25"/>
        <v>0</v>
      </c>
      <c r="G142" s="68">
        <f t="shared" si="26"/>
        <v>0</v>
      </c>
      <c r="H142" s="130">
        <f t="shared" si="20"/>
        <v>0</v>
      </c>
      <c r="I142" s="139">
        <f t="shared" si="21"/>
        <v>0</v>
      </c>
      <c r="J142" s="67">
        <f t="shared" si="27"/>
        <v>0</v>
      </c>
      <c r="K142" s="478"/>
      <c r="L142" s="487"/>
      <c r="M142" s="478">
        <f t="shared" si="28"/>
        <v>0</v>
      </c>
      <c r="N142" s="487"/>
      <c r="O142" s="478">
        <f t="shared" si="29"/>
        <v>0</v>
      </c>
      <c r="P142" s="478">
        <f t="shared" si="30"/>
        <v>0</v>
      </c>
    </row>
    <row r="143" spans="2:16">
      <c r="B143" s="160" t="str">
        <f t="shared" si="23"/>
        <v/>
      </c>
      <c r="C143" s="472">
        <f>IF(D93="","-",+C142+1)</f>
        <v>2066</v>
      </c>
      <c r="D143" s="63">
        <f>IF(F142+SUM(E$99:E142)=D$92,F142,D$92-SUM(E$99:E142))</f>
        <v>0</v>
      </c>
      <c r="E143" s="69">
        <f t="shared" si="24"/>
        <v>0</v>
      </c>
      <c r="F143" s="68">
        <f t="shared" si="25"/>
        <v>0</v>
      </c>
      <c r="G143" s="68">
        <f t="shared" si="26"/>
        <v>0</v>
      </c>
      <c r="H143" s="130">
        <f t="shared" si="20"/>
        <v>0</v>
      </c>
      <c r="I143" s="139">
        <f t="shared" si="21"/>
        <v>0</v>
      </c>
      <c r="J143" s="67">
        <f t="shared" si="27"/>
        <v>0</v>
      </c>
      <c r="K143" s="478"/>
      <c r="L143" s="487"/>
      <c r="M143" s="478">
        <f t="shared" si="28"/>
        <v>0</v>
      </c>
      <c r="N143" s="487"/>
      <c r="O143" s="478">
        <f t="shared" si="29"/>
        <v>0</v>
      </c>
      <c r="P143" s="478">
        <f t="shared" si="30"/>
        <v>0</v>
      </c>
    </row>
    <row r="144" spans="2:16">
      <c r="B144" s="160" t="str">
        <f t="shared" si="23"/>
        <v/>
      </c>
      <c r="C144" s="472">
        <f>IF(D93="","-",+C143+1)</f>
        <v>2067</v>
      </c>
      <c r="D144" s="63">
        <f>IF(F143+SUM(E$99:E143)=D$92,F143,D$92-SUM(E$99:E143))</f>
        <v>0</v>
      </c>
      <c r="E144" s="69">
        <f t="shared" si="24"/>
        <v>0</v>
      </c>
      <c r="F144" s="68">
        <f t="shared" si="25"/>
        <v>0</v>
      </c>
      <c r="G144" s="68">
        <f t="shared" si="26"/>
        <v>0</v>
      </c>
      <c r="H144" s="130">
        <f t="shared" si="20"/>
        <v>0</v>
      </c>
      <c r="I144" s="139">
        <f t="shared" si="21"/>
        <v>0</v>
      </c>
      <c r="J144" s="67">
        <f t="shared" si="27"/>
        <v>0</v>
      </c>
      <c r="K144" s="478"/>
      <c r="L144" s="487"/>
      <c r="M144" s="478">
        <f t="shared" si="28"/>
        <v>0</v>
      </c>
      <c r="N144" s="487"/>
      <c r="O144" s="478">
        <f t="shared" si="29"/>
        <v>0</v>
      </c>
      <c r="P144" s="478">
        <f t="shared" si="30"/>
        <v>0</v>
      </c>
    </row>
    <row r="145" spans="2:16">
      <c r="B145" s="160" t="str">
        <f t="shared" si="23"/>
        <v/>
      </c>
      <c r="C145" s="472">
        <f>IF(D93="","-",+C144+1)</f>
        <v>2068</v>
      </c>
      <c r="D145" s="63">
        <f>IF(F144+SUM(E$99:E144)=D$92,F144,D$92-SUM(E$99:E144))</f>
        <v>0</v>
      </c>
      <c r="E145" s="69">
        <f t="shared" si="24"/>
        <v>0</v>
      </c>
      <c r="F145" s="68">
        <f t="shared" si="25"/>
        <v>0</v>
      </c>
      <c r="G145" s="68">
        <f t="shared" si="26"/>
        <v>0</v>
      </c>
      <c r="H145" s="130">
        <f t="shared" si="20"/>
        <v>0</v>
      </c>
      <c r="I145" s="139">
        <f t="shared" si="21"/>
        <v>0</v>
      </c>
      <c r="J145" s="67">
        <f t="shared" si="27"/>
        <v>0</v>
      </c>
      <c r="K145" s="478"/>
      <c r="L145" s="487"/>
      <c r="M145" s="478">
        <f t="shared" si="28"/>
        <v>0</v>
      </c>
      <c r="N145" s="487"/>
      <c r="O145" s="478">
        <f t="shared" si="29"/>
        <v>0</v>
      </c>
      <c r="P145" s="478">
        <f t="shared" si="30"/>
        <v>0</v>
      </c>
    </row>
    <row r="146" spans="2:16">
      <c r="B146" s="160" t="str">
        <f t="shared" si="23"/>
        <v/>
      </c>
      <c r="C146" s="472">
        <f>IF(D93="","-",+C145+1)</f>
        <v>2069</v>
      </c>
      <c r="D146" s="63">
        <f>IF(F145+SUM(E$99:E145)=D$92,F145,D$92-SUM(E$99:E145))</f>
        <v>0</v>
      </c>
      <c r="E146" s="69">
        <f t="shared" si="24"/>
        <v>0</v>
      </c>
      <c r="F146" s="68">
        <f t="shared" si="25"/>
        <v>0</v>
      </c>
      <c r="G146" s="68">
        <f t="shared" si="26"/>
        <v>0</v>
      </c>
      <c r="H146" s="130">
        <f t="shared" si="20"/>
        <v>0</v>
      </c>
      <c r="I146" s="139">
        <f t="shared" si="21"/>
        <v>0</v>
      </c>
      <c r="J146" s="67">
        <f t="shared" si="27"/>
        <v>0</v>
      </c>
      <c r="K146" s="478"/>
      <c r="L146" s="487"/>
      <c r="M146" s="478">
        <f t="shared" si="28"/>
        <v>0</v>
      </c>
      <c r="N146" s="487"/>
      <c r="O146" s="478">
        <f t="shared" si="29"/>
        <v>0</v>
      </c>
      <c r="P146" s="478">
        <f t="shared" si="30"/>
        <v>0</v>
      </c>
    </row>
    <row r="147" spans="2:16">
      <c r="B147" s="160" t="str">
        <f t="shared" si="23"/>
        <v/>
      </c>
      <c r="C147" s="472">
        <f>IF(D93="","-",+C146+1)</f>
        <v>2070</v>
      </c>
      <c r="D147" s="63">
        <f>IF(F146+SUM(E$99:E146)=D$92,F146,D$92-SUM(E$99:E146))</f>
        <v>0</v>
      </c>
      <c r="E147" s="69">
        <f t="shared" si="24"/>
        <v>0</v>
      </c>
      <c r="F147" s="68">
        <f t="shared" si="25"/>
        <v>0</v>
      </c>
      <c r="G147" s="68">
        <f t="shared" si="26"/>
        <v>0</v>
      </c>
      <c r="H147" s="130">
        <f t="shared" si="20"/>
        <v>0</v>
      </c>
      <c r="I147" s="139">
        <f t="shared" si="21"/>
        <v>0</v>
      </c>
      <c r="J147" s="67">
        <f t="shared" si="27"/>
        <v>0</v>
      </c>
      <c r="K147" s="478"/>
      <c r="L147" s="487"/>
      <c r="M147" s="478">
        <f t="shared" si="28"/>
        <v>0</v>
      </c>
      <c r="N147" s="487"/>
      <c r="O147" s="478">
        <f t="shared" si="29"/>
        <v>0</v>
      </c>
      <c r="P147" s="478">
        <f t="shared" si="30"/>
        <v>0</v>
      </c>
    </row>
    <row r="148" spans="2:16">
      <c r="B148" s="160" t="str">
        <f t="shared" si="23"/>
        <v/>
      </c>
      <c r="C148" s="472">
        <f>IF(D93="","-",+C147+1)</f>
        <v>2071</v>
      </c>
      <c r="D148" s="63">
        <f>IF(F147+SUM(E$99:E147)=D$92,F147,D$92-SUM(E$99:E147))</f>
        <v>0</v>
      </c>
      <c r="E148" s="69">
        <f t="shared" si="24"/>
        <v>0</v>
      </c>
      <c r="F148" s="68">
        <f t="shared" si="25"/>
        <v>0</v>
      </c>
      <c r="G148" s="68">
        <f t="shared" si="26"/>
        <v>0</v>
      </c>
      <c r="H148" s="130">
        <f t="shared" si="20"/>
        <v>0</v>
      </c>
      <c r="I148" s="139">
        <f t="shared" si="21"/>
        <v>0</v>
      </c>
      <c r="J148" s="67">
        <f t="shared" si="27"/>
        <v>0</v>
      </c>
      <c r="K148" s="478"/>
      <c r="L148" s="487"/>
      <c r="M148" s="478">
        <f t="shared" si="28"/>
        <v>0</v>
      </c>
      <c r="N148" s="487"/>
      <c r="O148" s="478">
        <f t="shared" si="29"/>
        <v>0</v>
      </c>
      <c r="P148" s="478">
        <f t="shared" si="30"/>
        <v>0</v>
      </c>
    </row>
    <row r="149" spans="2:16">
      <c r="B149" s="160" t="str">
        <f t="shared" si="23"/>
        <v/>
      </c>
      <c r="C149" s="472">
        <f>IF(D93="","-",+C148+1)</f>
        <v>2072</v>
      </c>
      <c r="D149" s="63">
        <f>IF(F148+SUM(E$99:E148)=D$92,F148,D$92-SUM(E$99:E148))</f>
        <v>0</v>
      </c>
      <c r="E149" s="69">
        <f t="shared" si="24"/>
        <v>0</v>
      </c>
      <c r="F149" s="68">
        <f t="shared" si="25"/>
        <v>0</v>
      </c>
      <c r="G149" s="68">
        <f t="shared" si="26"/>
        <v>0</v>
      </c>
      <c r="H149" s="130">
        <f t="shared" si="20"/>
        <v>0</v>
      </c>
      <c r="I149" s="139">
        <f t="shared" si="21"/>
        <v>0</v>
      </c>
      <c r="J149" s="67">
        <f t="shared" si="27"/>
        <v>0</v>
      </c>
      <c r="K149" s="478"/>
      <c r="L149" s="487"/>
      <c r="M149" s="478">
        <f t="shared" si="28"/>
        <v>0</v>
      </c>
      <c r="N149" s="487"/>
      <c r="O149" s="478">
        <f t="shared" si="29"/>
        <v>0</v>
      </c>
      <c r="P149" s="478">
        <f t="shared" si="30"/>
        <v>0</v>
      </c>
    </row>
    <row r="150" spans="2:16">
      <c r="B150" s="160" t="str">
        <f t="shared" si="23"/>
        <v/>
      </c>
      <c r="C150" s="472">
        <f>IF(D93="","-",+C149+1)</f>
        <v>2073</v>
      </c>
      <c r="D150" s="63">
        <f>IF(F149+SUM(E$99:E149)=D$92,F149,D$92-SUM(E$99:E149))</f>
        <v>0</v>
      </c>
      <c r="E150" s="69">
        <f t="shared" si="24"/>
        <v>0</v>
      </c>
      <c r="F150" s="68">
        <f t="shared" si="25"/>
        <v>0</v>
      </c>
      <c r="G150" s="68">
        <f t="shared" si="26"/>
        <v>0</v>
      </c>
      <c r="H150" s="130">
        <f t="shared" si="20"/>
        <v>0</v>
      </c>
      <c r="I150" s="139">
        <f t="shared" si="21"/>
        <v>0</v>
      </c>
      <c r="J150" s="67">
        <f t="shared" si="27"/>
        <v>0</v>
      </c>
      <c r="K150" s="478"/>
      <c r="L150" s="487"/>
      <c r="M150" s="478">
        <f t="shared" si="28"/>
        <v>0</v>
      </c>
      <c r="N150" s="487"/>
      <c r="O150" s="478">
        <f t="shared" si="29"/>
        <v>0</v>
      </c>
      <c r="P150" s="478">
        <f t="shared" si="30"/>
        <v>0</v>
      </c>
    </row>
    <row r="151" spans="2:16">
      <c r="B151" s="160" t="str">
        <f t="shared" si="23"/>
        <v/>
      </c>
      <c r="C151" s="472">
        <f>IF(D93="","-",+C150+1)</f>
        <v>2074</v>
      </c>
      <c r="D151" s="63">
        <f>IF(F150+SUM(E$99:E150)=D$92,F150,D$92-SUM(E$99:E150))</f>
        <v>0</v>
      </c>
      <c r="E151" s="69">
        <f t="shared" si="24"/>
        <v>0</v>
      </c>
      <c r="F151" s="68">
        <f t="shared" si="25"/>
        <v>0</v>
      </c>
      <c r="G151" s="68">
        <f t="shared" si="26"/>
        <v>0</v>
      </c>
      <c r="H151" s="130">
        <f t="shared" si="20"/>
        <v>0</v>
      </c>
      <c r="I151" s="139">
        <f t="shared" si="21"/>
        <v>0</v>
      </c>
      <c r="J151" s="67">
        <f t="shared" si="27"/>
        <v>0</v>
      </c>
      <c r="K151" s="478"/>
      <c r="L151" s="487"/>
      <c r="M151" s="478">
        <f t="shared" si="28"/>
        <v>0</v>
      </c>
      <c r="N151" s="487"/>
      <c r="O151" s="478">
        <f t="shared" si="29"/>
        <v>0</v>
      </c>
      <c r="P151" s="478">
        <f t="shared" si="30"/>
        <v>0</v>
      </c>
    </row>
    <row r="152" spans="2:16">
      <c r="B152" s="160" t="str">
        <f t="shared" si="23"/>
        <v/>
      </c>
      <c r="C152" s="472">
        <f>IF(D93="","-",+C151+1)</f>
        <v>2075</v>
      </c>
      <c r="D152" s="63">
        <f>IF(F151+SUM(E$99:E151)=D$92,F151,D$92-SUM(E$99:E151))</f>
        <v>0</v>
      </c>
      <c r="E152" s="69">
        <f t="shared" si="24"/>
        <v>0</v>
      </c>
      <c r="F152" s="68">
        <f t="shared" si="25"/>
        <v>0</v>
      </c>
      <c r="G152" s="68">
        <f t="shared" si="26"/>
        <v>0</v>
      </c>
      <c r="H152" s="130">
        <f t="shared" si="20"/>
        <v>0</v>
      </c>
      <c r="I152" s="139">
        <f t="shared" si="21"/>
        <v>0</v>
      </c>
      <c r="J152" s="67">
        <f t="shared" si="27"/>
        <v>0</v>
      </c>
      <c r="K152" s="478"/>
      <c r="L152" s="487"/>
      <c r="M152" s="478">
        <f t="shared" si="28"/>
        <v>0</v>
      </c>
      <c r="N152" s="487"/>
      <c r="O152" s="478">
        <f t="shared" si="29"/>
        <v>0</v>
      </c>
      <c r="P152" s="478">
        <f t="shared" si="30"/>
        <v>0</v>
      </c>
    </row>
    <row r="153" spans="2:16">
      <c r="B153" s="160" t="str">
        <f t="shared" si="23"/>
        <v/>
      </c>
      <c r="C153" s="472">
        <f>IF(D93="","-",+C152+1)</f>
        <v>2076</v>
      </c>
      <c r="D153" s="63">
        <f>IF(F152+SUM(E$99:E152)=D$92,F152,D$92-SUM(E$99:E152))</f>
        <v>0</v>
      </c>
      <c r="E153" s="69">
        <f t="shared" si="24"/>
        <v>0</v>
      </c>
      <c r="F153" s="68">
        <f t="shared" si="25"/>
        <v>0</v>
      </c>
      <c r="G153" s="68">
        <f t="shared" si="26"/>
        <v>0</v>
      </c>
      <c r="H153" s="130">
        <f t="shared" si="20"/>
        <v>0</v>
      </c>
      <c r="I153" s="139">
        <f t="shared" si="21"/>
        <v>0</v>
      </c>
      <c r="J153" s="67">
        <f t="shared" si="27"/>
        <v>0</v>
      </c>
      <c r="K153" s="478"/>
      <c r="L153" s="487"/>
      <c r="M153" s="478">
        <f t="shared" si="28"/>
        <v>0</v>
      </c>
      <c r="N153" s="487"/>
      <c r="O153" s="478">
        <f t="shared" si="29"/>
        <v>0</v>
      </c>
      <c r="P153" s="478">
        <f t="shared" si="30"/>
        <v>0</v>
      </c>
    </row>
    <row r="154" spans="2:16" ht="13.5" thickBot="1">
      <c r="B154" s="160" t="str">
        <f t="shared" si="23"/>
        <v/>
      </c>
      <c r="C154" s="489">
        <f>IF(D93="","-",+C153+1)</f>
        <v>2077</v>
      </c>
      <c r="D154" s="98">
        <f>IF(F153+SUM(E$99:E153)=D$92,F153,D$92-SUM(E$99:E153))</f>
        <v>0</v>
      </c>
      <c r="E154" s="74">
        <f t="shared" si="24"/>
        <v>0</v>
      </c>
      <c r="F154" s="73">
        <f t="shared" si="25"/>
        <v>0</v>
      </c>
      <c r="G154" s="73">
        <f t="shared" si="26"/>
        <v>0</v>
      </c>
      <c r="H154" s="140">
        <f t="shared" si="20"/>
        <v>0</v>
      </c>
      <c r="I154" s="141">
        <f t="shared" si="21"/>
        <v>0</v>
      </c>
      <c r="J154" s="76">
        <f t="shared" si="27"/>
        <v>0</v>
      </c>
      <c r="K154" s="478"/>
      <c r="L154" s="494"/>
      <c r="M154" s="495">
        <f t="shared" si="28"/>
        <v>0</v>
      </c>
      <c r="N154" s="494"/>
      <c r="O154" s="495">
        <f t="shared" si="29"/>
        <v>0</v>
      </c>
      <c r="P154" s="495">
        <f t="shared" si="30"/>
        <v>0</v>
      </c>
    </row>
    <row r="155" spans="2:16">
      <c r="C155" s="346" t="s">
        <v>77</v>
      </c>
      <c r="D155" s="347"/>
      <c r="E155" s="347">
        <f>SUM(E99:E154)</f>
        <v>0</v>
      </c>
      <c r="F155" s="347"/>
      <c r="G155" s="347"/>
      <c r="H155" s="347">
        <f>SUM(H99:H154)</f>
        <v>0</v>
      </c>
      <c r="I155" s="347">
        <f>SUM(I99:I154)</f>
        <v>0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conditionalFormatting sqref="C17:C72">
    <cfRule type="cellIs" dxfId="3" priority="1" stopIfTrue="1" operator="equal">
      <formula>$I$10</formula>
    </cfRule>
  </conditionalFormatting>
  <conditionalFormatting sqref="C99:C154">
    <cfRule type="cellIs" dxfId="2" priority="2" stopIfTrue="1" operator="equal">
      <formula>$J$92</formula>
    </cfRule>
  </conditionalFormatting>
  <pageMargins left="0.5" right="0.25" top="1" bottom="0.5" header="0.25" footer="0.5"/>
  <pageSetup scale="47" orientation="landscape" r:id="rId1"/>
  <headerFooter>
    <oddHeader xml:space="preserve">&amp;R&amp;18AEP - SPP Formula Rate
PSO TCOS - Worksheets F and G
Section IV -- (BPU Project Tables)
Page: &amp;P of &amp;N
</oddHeader>
    <oddFooter>&amp;L&amp;A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P162"/>
  <sheetViews>
    <sheetView view="pageBreakPreview" zoomScale="78" zoomScaleNormal="100" zoomScaleSheetLayoutView="78" workbookViewId="0">
      <selection activeCell="D17" sqref="D17:I71"/>
    </sheetView>
  </sheetViews>
  <sheetFormatPr defaultRowHeight="12.75" customHeight="1"/>
  <cols>
    <col min="1" max="1" width="4.7109375" customWidth="1"/>
    <col min="2" max="2" width="6.7109375" customWidth="1"/>
    <col min="3" max="3" width="23.28515625" customWidth="1"/>
    <col min="4" max="8" width="17.7109375" customWidth="1"/>
    <col min="9" max="9" width="20.42578125" customWidth="1"/>
    <col min="10" max="10" width="16.42578125" customWidth="1"/>
    <col min="11" max="11" width="17.7109375" customWidth="1"/>
    <col min="12" max="12" width="16.140625" customWidth="1"/>
    <col min="13" max="13" width="17.7109375" customWidth="1"/>
    <col min="14" max="14" width="16.7109375" customWidth="1"/>
    <col min="15" max="15" width="16.85546875" customWidth="1"/>
    <col min="16" max="16" width="24.42578125" customWidth="1"/>
    <col min="17" max="17" width="9.140625" customWidth="1"/>
    <col min="23" max="23" width="9.140625" customWidth="1"/>
  </cols>
  <sheetData>
    <row r="1" spans="1:16" ht="20.25">
      <c r="A1" s="110" t="s">
        <v>147</v>
      </c>
      <c r="B1" s="1"/>
      <c r="C1" s="10"/>
      <c r="D1" s="2"/>
      <c r="E1" s="1"/>
      <c r="F1" s="15"/>
      <c r="G1" s="1"/>
      <c r="H1" s="3"/>
      <c r="J1" s="7"/>
      <c r="K1" s="19"/>
      <c r="L1" s="19"/>
      <c r="M1" s="19"/>
      <c r="P1" s="116" t="str">
        <f ca="1">"PSO Project "&amp;RIGHT(MID(CELL("filename",$A$1),FIND("]",CELL("filename",$A$1))+1,256),2)&amp;" of "&amp;COUNT('P.001:P.xyz - blank'!$P$3)-1</f>
        <v>PSO Project nk of 31</v>
      </c>
    </row>
    <row r="2" spans="1:16" ht="18">
      <c r="B2" s="1"/>
      <c r="C2" s="1"/>
      <c r="D2" s="2"/>
      <c r="E2" s="1"/>
      <c r="F2" s="1"/>
      <c r="G2" s="1"/>
      <c r="H2" s="3"/>
      <c r="I2" s="1"/>
      <c r="J2" s="4"/>
      <c r="K2" s="1"/>
      <c r="L2" s="1"/>
      <c r="M2" s="1"/>
      <c r="N2" s="1"/>
      <c r="P2" s="117" t="s">
        <v>150</v>
      </c>
    </row>
    <row r="3" spans="1:16" ht="18.75">
      <c r="B3" s="5" t="s">
        <v>42</v>
      </c>
      <c r="C3" s="14" t="s">
        <v>43</v>
      </c>
      <c r="D3" s="2"/>
      <c r="E3" s="1"/>
      <c r="F3" s="1"/>
      <c r="G3" s="1"/>
      <c r="H3" s="3"/>
      <c r="I3" s="3"/>
      <c r="J3" s="20"/>
      <c r="K3" s="3"/>
      <c r="L3" s="3"/>
      <c r="M3" s="3"/>
      <c r="N3" s="3"/>
      <c r="O3" s="1"/>
      <c r="P3" s="108">
        <v>1</v>
      </c>
    </row>
    <row r="4" spans="1:16" ht="15.75" thickBot="1">
      <c r="C4" s="13"/>
      <c r="D4" s="2"/>
      <c r="E4" s="1"/>
      <c r="F4" s="1"/>
      <c r="G4" s="1"/>
      <c r="H4" s="3"/>
      <c r="I4" s="3"/>
      <c r="J4" s="20"/>
      <c r="K4" s="3"/>
      <c r="L4" s="3"/>
      <c r="M4" s="3"/>
      <c r="N4" s="3"/>
      <c r="O4" s="1"/>
      <c r="P4" s="1"/>
    </row>
    <row r="5" spans="1:16" ht="15">
      <c r="C5" s="21" t="s">
        <v>44</v>
      </c>
      <c r="D5" s="2"/>
      <c r="E5" s="1"/>
      <c r="F5" s="1"/>
      <c r="G5" s="22"/>
      <c r="H5" s="1" t="s">
        <v>45</v>
      </c>
      <c r="I5" s="1"/>
      <c r="J5" s="4"/>
      <c r="K5" s="23" t="s">
        <v>284</v>
      </c>
      <c r="L5" s="24"/>
      <c r="M5" s="25"/>
      <c r="N5" s="26">
        <f>VLOOKUP(I10,C17:I72,5)</f>
        <v>0</v>
      </c>
      <c r="P5" s="1"/>
    </row>
    <row r="6" spans="1:16" ht="15.75">
      <c r="C6" s="8"/>
      <c r="D6" s="2"/>
      <c r="E6" s="1"/>
      <c r="F6" s="1"/>
      <c r="G6" s="1"/>
      <c r="H6" s="27"/>
      <c r="I6" s="27"/>
      <c r="J6" s="28"/>
      <c r="K6" s="29" t="s">
        <v>285</v>
      </c>
      <c r="L6" s="30"/>
      <c r="M6" s="4"/>
      <c r="N6" s="31">
        <f>VLOOKUP(I10,C17:I72,6)</f>
        <v>0</v>
      </c>
      <c r="O6" s="1"/>
      <c r="P6" s="1"/>
    </row>
    <row r="7" spans="1:16" ht="13.5" thickBot="1">
      <c r="C7" s="32" t="s">
        <v>46</v>
      </c>
      <c r="D7" s="104" t="s">
        <v>108</v>
      </c>
      <c r="E7" s="1"/>
      <c r="F7" s="1"/>
      <c r="G7" s="1"/>
      <c r="H7" s="3"/>
      <c r="I7" s="3"/>
      <c r="J7" s="20"/>
      <c r="K7" s="33" t="s">
        <v>47</v>
      </c>
      <c r="L7" s="34"/>
      <c r="M7" s="34"/>
      <c r="N7" s="35">
        <f>+N6-N5</f>
        <v>0</v>
      </c>
      <c r="O7" s="1"/>
      <c r="P7" s="1"/>
    </row>
    <row r="8" spans="1:16" ht="13.5" thickBot="1">
      <c r="C8" s="36"/>
      <c r="D8" s="114" t="str">
        <f>IF(D10&lt;100000,"DOES NOT MEET SPP $100,000 MINIMUM INVESTMENT FOR REGIONAL BPU SHARING.","")</f>
        <v>DOES NOT MEET SPP $100,000 MINIMUM INVESTMENT FOR REGIONAL BPU SHARING.</v>
      </c>
      <c r="E8" s="37"/>
      <c r="F8" s="37"/>
      <c r="G8" s="37"/>
      <c r="H8" s="37"/>
      <c r="I8" s="37"/>
      <c r="J8" s="16"/>
      <c r="K8" s="37"/>
      <c r="L8" s="37"/>
      <c r="M8" s="37"/>
      <c r="N8" s="37"/>
      <c r="O8" s="16"/>
      <c r="P8" s="10"/>
    </row>
    <row r="9" spans="1:16" ht="13.5" thickBot="1">
      <c r="C9" s="38" t="s">
        <v>48</v>
      </c>
      <c r="D9" s="106"/>
      <c r="E9" s="39"/>
      <c r="F9" s="39"/>
      <c r="G9" s="39"/>
      <c r="H9" s="39"/>
      <c r="I9" s="40"/>
      <c r="J9" s="41"/>
      <c r="O9" s="42"/>
      <c r="P9" s="4"/>
    </row>
    <row r="10" spans="1:16">
      <c r="C10" s="145" t="s">
        <v>226</v>
      </c>
      <c r="D10" s="43"/>
      <c r="E10" s="12" t="s">
        <v>51</v>
      </c>
      <c r="F10" s="42"/>
      <c r="G10" s="44"/>
      <c r="H10" s="44"/>
      <c r="I10" s="45">
        <f>+PSO.WS.F.BPU.ATRR.Projected!L19</f>
        <v>2022</v>
      </c>
      <c r="J10" s="41"/>
      <c r="K10" s="20" t="s">
        <v>52</v>
      </c>
      <c r="O10" s="4"/>
      <c r="P10" s="4"/>
    </row>
    <row r="11" spans="1:16">
      <c r="C11" s="46" t="s">
        <v>53</v>
      </c>
      <c r="D11" s="47">
        <v>2017</v>
      </c>
      <c r="E11" s="46" t="s">
        <v>54</v>
      </c>
      <c r="F11" s="44"/>
      <c r="G11" s="7"/>
      <c r="H11" s="7"/>
      <c r="I11" s="48">
        <f>IF(G5="",0,PSO.WS.F.BPU.ATRR.Projected!F$13)</f>
        <v>0</v>
      </c>
      <c r="J11" s="49"/>
      <c r="K11" t="str">
        <f>"          INPUT PROJECTED ARR (WITH &amp; WITHOUT INCENTIVES) FROM EACH PRIOR YEAR"</f>
        <v xml:space="preserve">          INPUT PROJECTED ARR (WITH &amp; WITHOUT INCENTIVES) FROM EACH PRIOR YEAR</v>
      </c>
      <c r="O11" s="4"/>
      <c r="P11" s="4"/>
    </row>
    <row r="12" spans="1:16">
      <c r="C12" s="46" t="s">
        <v>55</v>
      </c>
      <c r="D12" s="43">
        <v>4</v>
      </c>
      <c r="E12" s="46" t="s">
        <v>56</v>
      </c>
      <c r="F12" s="44"/>
      <c r="G12" s="7"/>
      <c r="H12" s="7"/>
      <c r="I12" s="50">
        <f>PSO.WS.F.BPU.ATRR.Projected!$F$81</f>
        <v>0.10781124580725182</v>
      </c>
      <c r="J12" s="51"/>
      <c r="K12" t="s">
        <v>57</v>
      </c>
      <c r="O12" s="4"/>
      <c r="P12" s="4"/>
    </row>
    <row r="13" spans="1:16">
      <c r="C13" s="46" t="s">
        <v>58</v>
      </c>
      <c r="D13" s="48">
        <f>+PSO.WS.F.BPU.ATRR.Projected!F$93</f>
        <v>42</v>
      </c>
      <c r="E13" s="46" t="s">
        <v>59</v>
      </c>
      <c r="F13" s="44"/>
      <c r="G13" s="7"/>
      <c r="H13" s="7"/>
      <c r="I13" s="50">
        <f>IF(G5="",I12,PSO.WS.F.BPU.ATRR.Projected!$F$80)</f>
        <v>0.10781124580725182</v>
      </c>
      <c r="J13" s="51"/>
      <c r="K13" s="20" t="s">
        <v>60</v>
      </c>
      <c r="L13" s="11"/>
      <c r="M13" s="11"/>
      <c r="N13" s="11"/>
      <c r="O13" s="4"/>
      <c r="P13" s="4"/>
    </row>
    <row r="14" spans="1:16" ht="13.5" thickBot="1">
      <c r="C14" s="46" t="s">
        <v>61</v>
      </c>
      <c r="D14" s="47" t="s">
        <v>62</v>
      </c>
      <c r="E14" s="4" t="s">
        <v>63</v>
      </c>
      <c r="F14" s="44"/>
      <c r="G14" s="7"/>
      <c r="H14" s="7"/>
      <c r="I14" s="52">
        <f>IF(D10=0,0,D10/D13)</f>
        <v>0</v>
      </c>
      <c r="J14" s="20"/>
      <c r="K14" s="20"/>
      <c r="L14" s="20"/>
      <c r="M14" s="20"/>
      <c r="N14" s="20"/>
      <c r="O14" s="4"/>
      <c r="P14" s="4"/>
    </row>
    <row r="15" spans="1:16" ht="38.25">
      <c r="C15" s="53" t="s">
        <v>50</v>
      </c>
      <c r="D15" s="54" t="s">
        <v>64</v>
      </c>
      <c r="E15" s="54" t="s">
        <v>65</v>
      </c>
      <c r="F15" s="54" t="s">
        <v>66</v>
      </c>
      <c r="G15" s="142" t="s">
        <v>286</v>
      </c>
      <c r="H15" s="143" t="s">
        <v>287</v>
      </c>
      <c r="I15" s="53" t="s">
        <v>67</v>
      </c>
      <c r="J15" s="55"/>
      <c r="K15" s="135" t="s">
        <v>205</v>
      </c>
      <c r="L15" s="136" t="s">
        <v>68</v>
      </c>
      <c r="M15" s="135" t="s">
        <v>205</v>
      </c>
      <c r="N15" s="136" t="s">
        <v>68</v>
      </c>
      <c r="O15" s="56" t="s">
        <v>69</v>
      </c>
      <c r="P15" s="4"/>
    </row>
    <row r="16" spans="1:16" ht="13.5" thickBot="1">
      <c r="C16" s="57" t="s">
        <v>70</v>
      </c>
      <c r="D16" s="57" t="s">
        <v>71</v>
      </c>
      <c r="E16" s="57" t="s">
        <v>72</v>
      </c>
      <c r="F16" s="57" t="s">
        <v>71</v>
      </c>
      <c r="G16" s="129" t="s">
        <v>73</v>
      </c>
      <c r="H16" s="58" t="s">
        <v>74</v>
      </c>
      <c r="I16" s="59" t="s">
        <v>104</v>
      </c>
      <c r="J16" s="60" t="s">
        <v>75</v>
      </c>
      <c r="K16" s="61" t="s">
        <v>76</v>
      </c>
      <c r="L16" s="137" t="s">
        <v>76</v>
      </c>
      <c r="M16" s="61" t="s">
        <v>105</v>
      </c>
      <c r="N16" s="138" t="s">
        <v>105</v>
      </c>
      <c r="O16" s="61" t="s">
        <v>105</v>
      </c>
      <c r="P16" s="4"/>
    </row>
    <row r="17" spans="2:16">
      <c r="B17" s="9"/>
      <c r="C17" s="62">
        <f>IF(D11= "","-",D11)</f>
        <v>2017</v>
      </c>
      <c r="D17" s="63">
        <v>0</v>
      </c>
      <c r="E17" s="64">
        <f>IF(D10&gt;=100000,I$14/12*(12-D12),0)</f>
        <v>0</v>
      </c>
      <c r="F17" s="68">
        <f>IF(D11=C17,+D10-E17,+D17-E17)</f>
        <v>0</v>
      </c>
      <c r="G17" s="64">
        <f>(D17+F17)/2*I$12+E17</f>
        <v>0</v>
      </c>
      <c r="H17" s="52">
        <f>+(D17+F17)/2*I$13+E17</f>
        <v>0</v>
      </c>
      <c r="I17" s="65">
        <f>H17-G17</f>
        <v>0</v>
      </c>
      <c r="J17" s="65"/>
      <c r="K17" s="134"/>
      <c r="L17" s="66">
        <f t="shared" ref="L17:L48" si="0">IF(K17&lt;&gt;0,+G17-K17,0)</f>
        <v>0</v>
      </c>
      <c r="M17" s="134"/>
      <c r="N17" s="66">
        <f t="shared" ref="N17:N48" si="1">IF(M17&lt;&gt;0,+H17-M17,0)</f>
        <v>0</v>
      </c>
      <c r="O17" s="67">
        <f t="shared" ref="O17:O48" si="2">+N17-L17</f>
        <v>0</v>
      </c>
      <c r="P17" s="4"/>
    </row>
    <row r="18" spans="2:16">
      <c r="B18" s="9" t="str">
        <f>IF(D18=F17,"","IU")</f>
        <v/>
      </c>
      <c r="C18" s="62">
        <f>IF(D11="","-",+C17+1)</f>
        <v>2018</v>
      </c>
      <c r="D18" s="71">
        <f>IF(F17+SUM(E$17:E17)=D$10,F17,D$10-SUM(E$17:E17))</f>
        <v>0</v>
      </c>
      <c r="E18" s="69">
        <f>IF(+I$14&lt;F17,I$14,D18)</f>
        <v>0</v>
      </c>
      <c r="F18" s="68">
        <f>+D18-E18</f>
        <v>0</v>
      </c>
      <c r="G18" s="70">
        <f>(D18+F18)/2*I$12+E18</f>
        <v>0</v>
      </c>
      <c r="H18" s="52">
        <f>+(D18+F18)/2*I$13+E18</f>
        <v>0</v>
      </c>
      <c r="I18" s="65">
        <f>H18-G18</f>
        <v>0</v>
      </c>
      <c r="J18" s="65"/>
      <c r="K18" s="132"/>
      <c r="L18" s="67">
        <f t="shared" si="0"/>
        <v>0</v>
      </c>
      <c r="M18" s="132"/>
      <c r="N18" s="67">
        <f t="shared" si="1"/>
        <v>0</v>
      </c>
      <c r="O18" s="67">
        <f t="shared" si="2"/>
        <v>0</v>
      </c>
      <c r="P18" s="4"/>
    </row>
    <row r="19" spans="2:16">
      <c r="B19" s="9" t="str">
        <f>IF(D19=F18,"","IU")</f>
        <v/>
      </c>
      <c r="C19" s="62">
        <f>IF(D11="","-",+C18+1)</f>
        <v>2019</v>
      </c>
      <c r="D19" s="71">
        <f>IF(F18+SUM(E$17:E18)=D$10,F18,D$10-SUM(E$17:E18))</f>
        <v>0</v>
      </c>
      <c r="E19" s="69">
        <f t="shared" ref="E19:E71" si="3">IF(+I$14&lt;F18,I$14,D19)</f>
        <v>0</v>
      </c>
      <c r="F19" s="68">
        <f t="shared" ref="F19:F71" si="4">+D19-E19</f>
        <v>0</v>
      </c>
      <c r="G19" s="70">
        <f t="shared" ref="G19:G71" si="5">(D19+F19)/2*I$12+E19</f>
        <v>0</v>
      </c>
      <c r="H19" s="52">
        <f t="shared" ref="H19:H71" si="6">+(D19+F19)/2*I$13+E19</f>
        <v>0</v>
      </c>
      <c r="I19" s="65">
        <f t="shared" ref="I19:I71" si="7">H19-G19</f>
        <v>0</v>
      </c>
      <c r="J19" s="65"/>
      <c r="K19" s="132"/>
      <c r="L19" s="67">
        <f t="shared" si="0"/>
        <v>0</v>
      </c>
      <c r="M19" s="132"/>
      <c r="N19" s="67">
        <f t="shared" si="1"/>
        <v>0</v>
      </c>
      <c r="O19" s="67">
        <f t="shared" si="2"/>
        <v>0</v>
      </c>
      <c r="P19" s="4"/>
    </row>
    <row r="20" spans="2:16">
      <c r="B20" s="9" t="str">
        <f t="shared" ref="B20:B72" si="8">IF(D20=F19,"","IU")</f>
        <v/>
      </c>
      <c r="C20" s="62">
        <f>IF(D11="","-",+C19+1)</f>
        <v>2020</v>
      </c>
      <c r="D20" s="71">
        <f>IF(F19+SUM(E$17:E19)=D$10,F19,D$10-SUM(E$17:E19))</f>
        <v>0</v>
      </c>
      <c r="E20" s="69">
        <f t="shared" si="3"/>
        <v>0</v>
      </c>
      <c r="F20" s="68">
        <f t="shared" si="4"/>
        <v>0</v>
      </c>
      <c r="G20" s="70">
        <f t="shared" si="5"/>
        <v>0</v>
      </c>
      <c r="H20" s="52">
        <f t="shared" si="6"/>
        <v>0</v>
      </c>
      <c r="I20" s="65">
        <f t="shared" si="7"/>
        <v>0</v>
      </c>
      <c r="J20" s="65"/>
      <c r="K20" s="132"/>
      <c r="L20" s="67">
        <f t="shared" si="0"/>
        <v>0</v>
      </c>
      <c r="M20" s="132"/>
      <c r="N20" s="67">
        <f t="shared" si="1"/>
        <v>0</v>
      </c>
      <c r="O20" s="67">
        <f t="shared" si="2"/>
        <v>0</v>
      </c>
      <c r="P20" s="4"/>
    </row>
    <row r="21" spans="2:16">
      <c r="B21" s="9" t="str">
        <f t="shared" si="8"/>
        <v/>
      </c>
      <c r="C21" s="62">
        <f>IF(D11="","-",+C20+1)</f>
        <v>2021</v>
      </c>
      <c r="D21" s="71">
        <f>IF(F20+SUM(E$17:E20)=D$10,F20,D$10-SUM(E$17:E20))</f>
        <v>0</v>
      </c>
      <c r="E21" s="69">
        <f t="shared" si="3"/>
        <v>0</v>
      </c>
      <c r="F21" s="68">
        <f t="shared" si="4"/>
        <v>0</v>
      </c>
      <c r="G21" s="70">
        <f t="shared" si="5"/>
        <v>0</v>
      </c>
      <c r="H21" s="52">
        <f t="shared" si="6"/>
        <v>0</v>
      </c>
      <c r="I21" s="65">
        <f t="shared" si="7"/>
        <v>0</v>
      </c>
      <c r="J21" s="65"/>
      <c r="K21" s="132"/>
      <c r="L21" s="67">
        <f t="shared" si="0"/>
        <v>0</v>
      </c>
      <c r="M21" s="132"/>
      <c r="N21" s="67">
        <f t="shared" si="1"/>
        <v>0</v>
      </c>
      <c r="O21" s="67">
        <f t="shared" si="2"/>
        <v>0</v>
      </c>
      <c r="P21" s="4"/>
    </row>
    <row r="22" spans="2:16">
      <c r="B22" s="9" t="str">
        <f t="shared" si="8"/>
        <v/>
      </c>
      <c r="C22" s="62">
        <f>IF(D11="","-",+C21+1)</f>
        <v>2022</v>
      </c>
      <c r="D22" s="71">
        <f>IF(F21+SUM(E$17:E21)=D$10,F21,D$10-SUM(E$17:E21))</f>
        <v>0</v>
      </c>
      <c r="E22" s="69">
        <f t="shared" si="3"/>
        <v>0</v>
      </c>
      <c r="F22" s="68">
        <f t="shared" si="4"/>
        <v>0</v>
      </c>
      <c r="G22" s="70">
        <f t="shared" si="5"/>
        <v>0</v>
      </c>
      <c r="H22" s="52">
        <f t="shared" si="6"/>
        <v>0</v>
      </c>
      <c r="I22" s="65">
        <f t="shared" si="7"/>
        <v>0</v>
      </c>
      <c r="J22" s="65"/>
      <c r="K22" s="132"/>
      <c r="L22" s="67">
        <f t="shared" si="0"/>
        <v>0</v>
      </c>
      <c r="M22" s="132"/>
      <c r="N22" s="67">
        <f t="shared" si="1"/>
        <v>0</v>
      </c>
      <c r="O22" s="67">
        <f t="shared" si="2"/>
        <v>0</v>
      </c>
      <c r="P22" s="4"/>
    </row>
    <row r="23" spans="2:16">
      <c r="B23" s="9" t="str">
        <f t="shared" si="8"/>
        <v/>
      </c>
      <c r="C23" s="62">
        <f>IF(D11="","-",+C22+1)</f>
        <v>2023</v>
      </c>
      <c r="D23" s="71">
        <f>IF(F22+SUM(E$17:E22)=D$10,F22,D$10-SUM(E$17:E22))</f>
        <v>0</v>
      </c>
      <c r="E23" s="69">
        <f t="shared" si="3"/>
        <v>0</v>
      </c>
      <c r="F23" s="68">
        <f t="shared" si="4"/>
        <v>0</v>
      </c>
      <c r="G23" s="70">
        <f t="shared" si="5"/>
        <v>0</v>
      </c>
      <c r="H23" s="52">
        <f t="shared" si="6"/>
        <v>0</v>
      </c>
      <c r="I23" s="65">
        <f t="shared" si="7"/>
        <v>0</v>
      </c>
      <c r="J23" s="65"/>
      <c r="K23" s="132"/>
      <c r="L23" s="67">
        <f t="shared" si="0"/>
        <v>0</v>
      </c>
      <c r="M23" s="132"/>
      <c r="N23" s="67">
        <f t="shared" si="1"/>
        <v>0</v>
      </c>
      <c r="O23" s="67">
        <f t="shared" si="2"/>
        <v>0</v>
      </c>
      <c r="P23" s="4"/>
    </row>
    <row r="24" spans="2:16">
      <c r="B24" s="9" t="str">
        <f t="shared" si="8"/>
        <v/>
      </c>
      <c r="C24" s="62">
        <f>IF(D11="","-",+C23+1)</f>
        <v>2024</v>
      </c>
      <c r="D24" s="71">
        <f>IF(F23+SUM(E$17:E23)=D$10,F23,D$10-SUM(E$17:E23))</f>
        <v>0</v>
      </c>
      <c r="E24" s="69">
        <f t="shared" si="3"/>
        <v>0</v>
      </c>
      <c r="F24" s="68">
        <f t="shared" si="4"/>
        <v>0</v>
      </c>
      <c r="G24" s="70">
        <f t="shared" si="5"/>
        <v>0</v>
      </c>
      <c r="H24" s="52">
        <f t="shared" si="6"/>
        <v>0</v>
      </c>
      <c r="I24" s="65">
        <f t="shared" si="7"/>
        <v>0</v>
      </c>
      <c r="J24" s="65"/>
      <c r="K24" s="132"/>
      <c r="L24" s="67">
        <f t="shared" si="0"/>
        <v>0</v>
      </c>
      <c r="M24" s="132"/>
      <c r="N24" s="67">
        <f t="shared" si="1"/>
        <v>0</v>
      </c>
      <c r="O24" s="67">
        <f t="shared" si="2"/>
        <v>0</v>
      </c>
      <c r="P24" s="4"/>
    </row>
    <row r="25" spans="2:16">
      <c r="B25" s="9" t="str">
        <f t="shared" si="8"/>
        <v/>
      </c>
      <c r="C25" s="62">
        <f>IF(D11="","-",+C24+1)</f>
        <v>2025</v>
      </c>
      <c r="D25" s="71">
        <f>IF(F24+SUM(E$17:E24)=D$10,F24,D$10-SUM(E$17:E24))</f>
        <v>0</v>
      </c>
      <c r="E25" s="69">
        <f t="shared" si="3"/>
        <v>0</v>
      </c>
      <c r="F25" s="68">
        <f t="shared" si="4"/>
        <v>0</v>
      </c>
      <c r="G25" s="70">
        <f t="shared" si="5"/>
        <v>0</v>
      </c>
      <c r="H25" s="52">
        <f t="shared" si="6"/>
        <v>0</v>
      </c>
      <c r="I25" s="65">
        <f t="shared" si="7"/>
        <v>0</v>
      </c>
      <c r="J25" s="65"/>
      <c r="K25" s="132"/>
      <c r="L25" s="67">
        <f t="shared" si="0"/>
        <v>0</v>
      </c>
      <c r="M25" s="132"/>
      <c r="N25" s="67">
        <f t="shared" si="1"/>
        <v>0</v>
      </c>
      <c r="O25" s="67">
        <f t="shared" si="2"/>
        <v>0</v>
      </c>
      <c r="P25" s="4"/>
    </row>
    <row r="26" spans="2:16">
      <c r="B26" s="9" t="str">
        <f t="shared" si="8"/>
        <v/>
      </c>
      <c r="C26" s="62">
        <f>IF(D11="","-",+C25+1)</f>
        <v>2026</v>
      </c>
      <c r="D26" s="71">
        <f>IF(F25+SUM(E$17:E25)=D$10,F25,D$10-SUM(E$17:E25))</f>
        <v>0</v>
      </c>
      <c r="E26" s="69">
        <f t="shared" si="3"/>
        <v>0</v>
      </c>
      <c r="F26" s="68">
        <f t="shared" si="4"/>
        <v>0</v>
      </c>
      <c r="G26" s="70">
        <f t="shared" si="5"/>
        <v>0</v>
      </c>
      <c r="H26" s="52">
        <f t="shared" si="6"/>
        <v>0</v>
      </c>
      <c r="I26" s="65">
        <f t="shared" si="7"/>
        <v>0</v>
      </c>
      <c r="J26" s="65"/>
      <c r="K26" s="132"/>
      <c r="L26" s="67">
        <f t="shared" si="0"/>
        <v>0</v>
      </c>
      <c r="M26" s="132"/>
      <c r="N26" s="67">
        <f t="shared" si="1"/>
        <v>0</v>
      </c>
      <c r="O26" s="67">
        <f t="shared" si="2"/>
        <v>0</v>
      </c>
      <c r="P26" s="4"/>
    </row>
    <row r="27" spans="2:16">
      <c r="B27" s="9" t="str">
        <f t="shared" si="8"/>
        <v/>
      </c>
      <c r="C27" s="62">
        <f>IF(D11="","-",+C26+1)</f>
        <v>2027</v>
      </c>
      <c r="D27" s="71">
        <f>IF(F26+SUM(E$17:E26)=D$10,F26,D$10-SUM(E$17:E26))</f>
        <v>0</v>
      </c>
      <c r="E27" s="69">
        <f t="shared" si="3"/>
        <v>0</v>
      </c>
      <c r="F27" s="68">
        <f t="shared" si="4"/>
        <v>0</v>
      </c>
      <c r="G27" s="70">
        <f t="shared" si="5"/>
        <v>0</v>
      </c>
      <c r="H27" s="52">
        <f t="shared" si="6"/>
        <v>0</v>
      </c>
      <c r="I27" s="65">
        <f t="shared" si="7"/>
        <v>0</v>
      </c>
      <c r="J27" s="65"/>
      <c r="K27" s="132"/>
      <c r="L27" s="67">
        <f t="shared" si="0"/>
        <v>0</v>
      </c>
      <c r="M27" s="132"/>
      <c r="N27" s="67">
        <f t="shared" si="1"/>
        <v>0</v>
      </c>
      <c r="O27" s="67">
        <f t="shared" si="2"/>
        <v>0</v>
      </c>
      <c r="P27" s="4"/>
    </row>
    <row r="28" spans="2:16">
      <c r="B28" s="9" t="str">
        <f t="shared" si="8"/>
        <v/>
      </c>
      <c r="C28" s="62">
        <f>IF(D11="","-",+C27+1)</f>
        <v>2028</v>
      </c>
      <c r="D28" s="71">
        <f>IF(F27+SUM(E$17:E27)=D$10,F27,D$10-SUM(E$17:E27))</f>
        <v>0</v>
      </c>
      <c r="E28" s="69">
        <f t="shared" si="3"/>
        <v>0</v>
      </c>
      <c r="F28" s="68">
        <f t="shared" si="4"/>
        <v>0</v>
      </c>
      <c r="G28" s="70">
        <f t="shared" si="5"/>
        <v>0</v>
      </c>
      <c r="H28" s="52">
        <f t="shared" si="6"/>
        <v>0</v>
      </c>
      <c r="I28" s="65">
        <f t="shared" si="7"/>
        <v>0</v>
      </c>
      <c r="J28" s="65"/>
      <c r="K28" s="132"/>
      <c r="L28" s="67">
        <f t="shared" si="0"/>
        <v>0</v>
      </c>
      <c r="M28" s="132"/>
      <c r="N28" s="67">
        <f t="shared" si="1"/>
        <v>0</v>
      </c>
      <c r="O28" s="67">
        <f t="shared" si="2"/>
        <v>0</v>
      </c>
      <c r="P28" s="4"/>
    </row>
    <row r="29" spans="2:16">
      <c r="B29" s="9" t="str">
        <f t="shared" si="8"/>
        <v/>
      </c>
      <c r="C29" s="62">
        <f>IF(D11="","-",+C28+1)</f>
        <v>2029</v>
      </c>
      <c r="D29" s="71">
        <f>IF(F28+SUM(E$17:E28)=D$10,F28,D$10-SUM(E$17:E28))</f>
        <v>0</v>
      </c>
      <c r="E29" s="69">
        <f t="shared" si="3"/>
        <v>0</v>
      </c>
      <c r="F29" s="68">
        <f t="shared" si="4"/>
        <v>0</v>
      </c>
      <c r="G29" s="70">
        <f t="shared" si="5"/>
        <v>0</v>
      </c>
      <c r="H29" s="52">
        <f t="shared" si="6"/>
        <v>0</v>
      </c>
      <c r="I29" s="65">
        <f t="shared" si="7"/>
        <v>0</v>
      </c>
      <c r="J29" s="65"/>
      <c r="K29" s="132"/>
      <c r="L29" s="67">
        <f t="shared" si="0"/>
        <v>0</v>
      </c>
      <c r="M29" s="132"/>
      <c r="N29" s="67">
        <f t="shared" si="1"/>
        <v>0</v>
      </c>
      <c r="O29" s="67">
        <f t="shared" si="2"/>
        <v>0</v>
      </c>
      <c r="P29" s="4"/>
    </row>
    <row r="30" spans="2:16">
      <c r="B30" s="9" t="str">
        <f t="shared" si="8"/>
        <v/>
      </c>
      <c r="C30" s="62">
        <f>IF(D11="","-",+C29+1)</f>
        <v>2030</v>
      </c>
      <c r="D30" s="71">
        <f>IF(F29+SUM(E$17:E29)=D$10,F29,D$10-SUM(E$17:E29))</f>
        <v>0</v>
      </c>
      <c r="E30" s="69">
        <f t="shared" si="3"/>
        <v>0</v>
      </c>
      <c r="F30" s="68">
        <f t="shared" si="4"/>
        <v>0</v>
      </c>
      <c r="G30" s="70">
        <f t="shared" si="5"/>
        <v>0</v>
      </c>
      <c r="H30" s="52">
        <f t="shared" si="6"/>
        <v>0</v>
      </c>
      <c r="I30" s="65">
        <f t="shared" si="7"/>
        <v>0</v>
      </c>
      <c r="J30" s="65"/>
      <c r="K30" s="132"/>
      <c r="L30" s="67">
        <f t="shared" si="0"/>
        <v>0</v>
      </c>
      <c r="M30" s="132"/>
      <c r="N30" s="67">
        <f t="shared" si="1"/>
        <v>0</v>
      </c>
      <c r="O30" s="67">
        <f t="shared" si="2"/>
        <v>0</v>
      </c>
      <c r="P30" s="4"/>
    </row>
    <row r="31" spans="2:16">
      <c r="B31" s="9" t="str">
        <f t="shared" si="8"/>
        <v/>
      </c>
      <c r="C31" s="62">
        <f>IF(D11="","-",+C30+1)</f>
        <v>2031</v>
      </c>
      <c r="D31" s="71">
        <f>IF(F30+SUM(E$17:E30)=D$10,F30,D$10-SUM(E$17:E30))</f>
        <v>0</v>
      </c>
      <c r="E31" s="69">
        <f t="shared" si="3"/>
        <v>0</v>
      </c>
      <c r="F31" s="68">
        <f t="shared" si="4"/>
        <v>0</v>
      </c>
      <c r="G31" s="70">
        <f t="shared" si="5"/>
        <v>0</v>
      </c>
      <c r="H31" s="52">
        <f t="shared" si="6"/>
        <v>0</v>
      </c>
      <c r="I31" s="65">
        <f t="shared" si="7"/>
        <v>0</v>
      </c>
      <c r="J31" s="65"/>
      <c r="K31" s="132"/>
      <c r="L31" s="67">
        <f t="shared" si="0"/>
        <v>0</v>
      </c>
      <c r="M31" s="132"/>
      <c r="N31" s="67">
        <f t="shared" si="1"/>
        <v>0</v>
      </c>
      <c r="O31" s="67">
        <f t="shared" si="2"/>
        <v>0</v>
      </c>
      <c r="P31" s="4"/>
    </row>
    <row r="32" spans="2:16">
      <c r="B32" s="9" t="str">
        <f t="shared" si="8"/>
        <v/>
      </c>
      <c r="C32" s="62">
        <f>IF(D11="","-",+C31+1)</f>
        <v>2032</v>
      </c>
      <c r="D32" s="71">
        <f>IF(F31+SUM(E$17:E31)=D$10,F31,D$10-SUM(E$17:E31))</f>
        <v>0</v>
      </c>
      <c r="E32" s="69">
        <f t="shared" si="3"/>
        <v>0</v>
      </c>
      <c r="F32" s="68">
        <f t="shared" si="4"/>
        <v>0</v>
      </c>
      <c r="G32" s="70">
        <f t="shared" si="5"/>
        <v>0</v>
      </c>
      <c r="H32" s="52">
        <f t="shared" si="6"/>
        <v>0</v>
      </c>
      <c r="I32" s="65">
        <f t="shared" si="7"/>
        <v>0</v>
      </c>
      <c r="J32" s="65"/>
      <c r="K32" s="132"/>
      <c r="L32" s="67">
        <f t="shared" si="0"/>
        <v>0</v>
      </c>
      <c r="M32" s="132"/>
      <c r="N32" s="67">
        <f t="shared" si="1"/>
        <v>0</v>
      </c>
      <c r="O32" s="67">
        <f t="shared" si="2"/>
        <v>0</v>
      </c>
      <c r="P32" s="4"/>
    </row>
    <row r="33" spans="2:16">
      <c r="B33" s="9" t="str">
        <f t="shared" si="8"/>
        <v/>
      </c>
      <c r="C33" s="62">
        <f>IF(D11="","-",+C32+1)</f>
        <v>2033</v>
      </c>
      <c r="D33" s="71">
        <f>IF(F32+SUM(E$17:E32)=D$10,F32,D$10-SUM(E$17:E32))</f>
        <v>0</v>
      </c>
      <c r="E33" s="69">
        <f t="shared" si="3"/>
        <v>0</v>
      </c>
      <c r="F33" s="68">
        <f t="shared" si="4"/>
        <v>0</v>
      </c>
      <c r="G33" s="70">
        <f t="shared" si="5"/>
        <v>0</v>
      </c>
      <c r="H33" s="52">
        <f t="shared" si="6"/>
        <v>0</v>
      </c>
      <c r="I33" s="65">
        <f t="shared" si="7"/>
        <v>0</v>
      </c>
      <c r="J33" s="65"/>
      <c r="K33" s="132"/>
      <c r="L33" s="67">
        <f t="shared" si="0"/>
        <v>0</v>
      </c>
      <c r="M33" s="132"/>
      <c r="N33" s="67">
        <f t="shared" si="1"/>
        <v>0</v>
      </c>
      <c r="O33" s="67">
        <f t="shared" si="2"/>
        <v>0</v>
      </c>
      <c r="P33" s="4"/>
    </row>
    <row r="34" spans="2:16">
      <c r="B34" s="9" t="str">
        <f t="shared" si="8"/>
        <v/>
      </c>
      <c r="C34" s="62">
        <f>IF(D11="","-",+C33+1)</f>
        <v>2034</v>
      </c>
      <c r="D34" s="71">
        <f>IF(F33+SUM(E$17:E33)=D$10,F33,D$10-SUM(E$17:E33))</f>
        <v>0</v>
      </c>
      <c r="E34" s="69">
        <f t="shared" si="3"/>
        <v>0</v>
      </c>
      <c r="F34" s="68">
        <f t="shared" si="4"/>
        <v>0</v>
      </c>
      <c r="G34" s="70">
        <f t="shared" si="5"/>
        <v>0</v>
      </c>
      <c r="H34" s="52">
        <f t="shared" si="6"/>
        <v>0</v>
      </c>
      <c r="I34" s="65">
        <f t="shared" si="7"/>
        <v>0</v>
      </c>
      <c r="J34" s="65"/>
      <c r="K34" s="132"/>
      <c r="L34" s="67">
        <f t="shared" si="0"/>
        <v>0</v>
      </c>
      <c r="M34" s="132"/>
      <c r="N34" s="67">
        <f t="shared" si="1"/>
        <v>0</v>
      </c>
      <c r="O34" s="67">
        <f t="shared" si="2"/>
        <v>0</v>
      </c>
      <c r="P34" s="4"/>
    </row>
    <row r="35" spans="2:16">
      <c r="B35" s="9" t="str">
        <f t="shared" si="8"/>
        <v/>
      </c>
      <c r="C35" s="62">
        <f>IF(D11="","-",+C34+1)</f>
        <v>2035</v>
      </c>
      <c r="D35" s="71">
        <f>IF(F34+SUM(E$17:E34)=D$10,F34,D$10-SUM(E$17:E34))</f>
        <v>0</v>
      </c>
      <c r="E35" s="69">
        <f t="shared" si="3"/>
        <v>0</v>
      </c>
      <c r="F35" s="68">
        <f t="shared" si="4"/>
        <v>0</v>
      </c>
      <c r="G35" s="70">
        <f t="shared" si="5"/>
        <v>0</v>
      </c>
      <c r="H35" s="52">
        <f t="shared" si="6"/>
        <v>0</v>
      </c>
      <c r="I35" s="65">
        <f t="shared" si="7"/>
        <v>0</v>
      </c>
      <c r="J35" s="65"/>
      <c r="K35" s="132"/>
      <c r="L35" s="67">
        <f t="shared" si="0"/>
        <v>0</v>
      </c>
      <c r="M35" s="132"/>
      <c r="N35" s="67">
        <f t="shared" si="1"/>
        <v>0</v>
      </c>
      <c r="O35" s="67">
        <f t="shared" si="2"/>
        <v>0</v>
      </c>
      <c r="P35" s="4"/>
    </row>
    <row r="36" spans="2:16">
      <c r="B36" s="9" t="str">
        <f t="shared" si="8"/>
        <v/>
      </c>
      <c r="C36" s="62">
        <f>IF(D11="","-",+C35+1)</f>
        <v>2036</v>
      </c>
      <c r="D36" s="71">
        <f>IF(F35+SUM(E$17:E35)=D$10,F35,D$10-SUM(E$17:E35))</f>
        <v>0</v>
      </c>
      <c r="E36" s="69">
        <f t="shared" si="3"/>
        <v>0</v>
      </c>
      <c r="F36" s="68">
        <f t="shared" si="4"/>
        <v>0</v>
      </c>
      <c r="G36" s="70">
        <f t="shared" si="5"/>
        <v>0</v>
      </c>
      <c r="H36" s="52">
        <f t="shared" si="6"/>
        <v>0</v>
      </c>
      <c r="I36" s="65">
        <f t="shared" si="7"/>
        <v>0</v>
      </c>
      <c r="J36" s="65"/>
      <c r="K36" s="132"/>
      <c r="L36" s="67">
        <f t="shared" si="0"/>
        <v>0</v>
      </c>
      <c r="M36" s="132"/>
      <c r="N36" s="67">
        <f t="shared" si="1"/>
        <v>0</v>
      </c>
      <c r="O36" s="67">
        <f t="shared" si="2"/>
        <v>0</v>
      </c>
      <c r="P36" s="4"/>
    </row>
    <row r="37" spans="2:16">
      <c r="B37" s="9" t="str">
        <f t="shared" si="8"/>
        <v/>
      </c>
      <c r="C37" s="62">
        <f>IF(D11="","-",+C36+1)</f>
        <v>2037</v>
      </c>
      <c r="D37" s="71">
        <f>IF(F36+SUM(E$17:E36)=D$10,F36,D$10-SUM(E$17:E36))</f>
        <v>0</v>
      </c>
      <c r="E37" s="69">
        <f t="shared" si="3"/>
        <v>0</v>
      </c>
      <c r="F37" s="68">
        <f t="shared" si="4"/>
        <v>0</v>
      </c>
      <c r="G37" s="70">
        <f t="shared" si="5"/>
        <v>0</v>
      </c>
      <c r="H37" s="52">
        <f t="shared" si="6"/>
        <v>0</v>
      </c>
      <c r="I37" s="65">
        <f t="shared" si="7"/>
        <v>0</v>
      </c>
      <c r="J37" s="65"/>
      <c r="K37" s="132"/>
      <c r="L37" s="67">
        <f t="shared" si="0"/>
        <v>0</v>
      </c>
      <c r="M37" s="132"/>
      <c r="N37" s="67">
        <f t="shared" si="1"/>
        <v>0</v>
      </c>
      <c r="O37" s="67">
        <f t="shared" si="2"/>
        <v>0</v>
      </c>
      <c r="P37" s="4"/>
    </row>
    <row r="38" spans="2:16">
      <c r="B38" s="9" t="str">
        <f t="shared" si="8"/>
        <v/>
      </c>
      <c r="C38" s="62">
        <f>IF(D11="","-",+C37+1)</f>
        <v>2038</v>
      </c>
      <c r="D38" s="71">
        <f>IF(F37+SUM(E$17:E37)=D$10,F37,D$10-SUM(E$17:E37))</f>
        <v>0</v>
      </c>
      <c r="E38" s="69">
        <f t="shared" si="3"/>
        <v>0</v>
      </c>
      <c r="F38" s="68">
        <f t="shared" si="4"/>
        <v>0</v>
      </c>
      <c r="G38" s="70">
        <f t="shared" si="5"/>
        <v>0</v>
      </c>
      <c r="H38" s="52">
        <f t="shared" si="6"/>
        <v>0</v>
      </c>
      <c r="I38" s="65">
        <f t="shared" si="7"/>
        <v>0</v>
      </c>
      <c r="J38" s="65"/>
      <c r="K38" s="132"/>
      <c r="L38" s="67">
        <f t="shared" si="0"/>
        <v>0</v>
      </c>
      <c r="M38" s="132"/>
      <c r="N38" s="67">
        <f t="shared" si="1"/>
        <v>0</v>
      </c>
      <c r="O38" s="67">
        <f t="shared" si="2"/>
        <v>0</v>
      </c>
      <c r="P38" s="4"/>
    </row>
    <row r="39" spans="2:16">
      <c r="B39" s="9" t="str">
        <f t="shared" si="8"/>
        <v/>
      </c>
      <c r="C39" s="62">
        <f>IF(D11="","-",+C38+1)</f>
        <v>2039</v>
      </c>
      <c r="D39" s="71">
        <f>IF(F38+SUM(E$17:E38)=D$10,F38,D$10-SUM(E$17:E38))</f>
        <v>0</v>
      </c>
      <c r="E39" s="69">
        <f t="shared" si="3"/>
        <v>0</v>
      </c>
      <c r="F39" s="68">
        <f t="shared" si="4"/>
        <v>0</v>
      </c>
      <c r="G39" s="70">
        <f t="shared" si="5"/>
        <v>0</v>
      </c>
      <c r="H39" s="52">
        <f t="shared" si="6"/>
        <v>0</v>
      </c>
      <c r="I39" s="65">
        <f t="shared" si="7"/>
        <v>0</v>
      </c>
      <c r="J39" s="65"/>
      <c r="K39" s="132"/>
      <c r="L39" s="67">
        <f t="shared" si="0"/>
        <v>0</v>
      </c>
      <c r="M39" s="132"/>
      <c r="N39" s="67">
        <f t="shared" si="1"/>
        <v>0</v>
      </c>
      <c r="O39" s="67">
        <f t="shared" si="2"/>
        <v>0</v>
      </c>
      <c r="P39" s="4"/>
    </row>
    <row r="40" spans="2:16">
      <c r="B40" s="9" t="str">
        <f t="shared" si="8"/>
        <v/>
      </c>
      <c r="C40" s="62">
        <f>IF(D11="","-",+C39+1)</f>
        <v>2040</v>
      </c>
      <c r="D40" s="71">
        <f>IF(F39+SUM(E$17:E39)=D$10,F39,D$10-SUM(E$17:E39))</f>
        <v>0</v>
      </c>
      <c r="E40" s="69">
        <f t="shared" si="3"/>
        <v>0</v>
      </c>
      <c r="F40" s="68">
        <f t="shared" si="4"/>
        <v>0</v>
      </c>
      <c r="G40" s="70">
        <f t="shared" si="5"/>
        <v>0</v>
      </c>
      <c r="H40" s="52">
        <f t="shared" si="6"/>
        <v>0</v>
      </c>
      <c r="I40" s="65">
        <f t="shared" si="7"/>
        <v>0</v>
      </c>
      <c r="J40" s="65"/>
      <c r="K40" s="132"/>
      <c r="L40" s="67">
        <f t="shared" si="0"/>
        <v>0</v>
      </c>
      <c r="M40" s="132"/>
      <c r="N40" s="67">
        <f t="shared" si="1"/>
        <v>0</v>
      </c>
      <c r="O40" s="67">
        <f t="shared" si="2"/>
        <v>0</v>
      </c>
      <c r="P40" s="4"/>
    </row>
    <row r="41" spans="2:16">
      <c r="B41" s="9" t="str">
        <f t="shared" si="8"/>
        <v/>
      </c>
      <c r="C41" s="62">
        <f>IF(D11="","-",+C40+1)</f>
        <v>2041</v>
      </c>
      <c r="D41" s="71">
        <f>IF(F40+SUM(E$17:E40)=D$10,F40,D$10-SUM(E$17:E40))</f>
        <v>0</v>
      </c>
      <c r="E41" s="69">
        <f t="shared" si="3"/>
        <v>0</v>
      </c>
      <c r="F41" s="68">
        <f t="shared" si="4"/>
        <v>0</v>
      </c>
      <c r="G41" s="70">
        <f t="shared" si="5"/>
        <v>0</v>
      </c>
      <c r="H41" s="52">
        <f t="shared" si="6"/>
        <v>0</v>
      </c>
      <c r="I41" s="65">
        <f t="shared" si="7"/>
        <v>0</v>
      </c>
      <c r="J41" s="65"/>
      <c r="K41" s="132"/>
      <c r="L41" s="67">
        <f t="shared" si="0"/>
        <v>0</v>
      </c>
      <c r="M41" s="132"/>
      <c r="N41" s="67">
        <f t="shared" si="1"/>
        <v>0</v>
      </c>
      <c r="O41" s="67">
        <f t="shared" si="2"/>
        <v>0</v>
      </c>
      <c r="P41" s="4"/>
    </row>
    <row r="42" spans="2:16">
      <c r="B42" s="9" t="str">
        <f t="shared" si="8"/>
        <v/>
      </c>
      <c r="C42" s="62">
        <f>IF(D11="","-",+C41+1)</f>
        <v>2042</v>
      </c>
      <c r="D42" s="71">
        <f>IF(F41+SUM(E$17:E41)=D$10,F41,D$10-SUM(E$17:E41))</f>
        <v>0</v>
      </c>
      <c r="E42" s="69">
        <f t="shared" si="3"/>
        <v>0</v>
      </c>
      <c r="F42" s="68">
        <f t="shared" si="4"/>
        <v>0</v>
      </c>
      <c r="G42" s="70">
        <f t="shared" si="5"/>
        <v>0</v>
      </c>
      <c r="H42" s="52">
        <f t="shared" si="6"/>
        <v>0</v>
      </c>
      <c r="I42" s="65">
        <f t="shared" si="7"/>
        <v>0</v>
      </c>
      <c r="J42" s="65"/>
      <c r="K42" s="132"/>
      <c r="L42" s="67">
        <f t="shared" si="0"/>
        <v>0</v>
      </c>
      <c r="M42" s="132"/>
      <c r="N42" s="67">
        <f t="shared" si="1"/>
        <v>0</v>
      </c>
      <c r="O42" s="67">
        <f t="shared" si="2"/>
        <v>0</v>
      </c>
      <c r="P42" s="4"/>
    </row>
    <row r="43" spans="2:16">
      <c r="B43" s="9" t="str">
        <f t="shared" si="8"/>
        <v/>
      </c>
      <c r="C43" s="62">
        <f>IF(D11="","-",+C42+1)</f>
        <v>2043</v>
      </c>
      <c r="D43" s="71">
        <f>IF(F42+SUM(E$17:E42)=D$10,F42,D$10-SUM(E$17:E42))</f>
        <v>0</v>
      </c>
      <c r="E43" s="69">
        <f t="shared" si="3"/>
        <v>0</v>
      </c>
      <c r="F43" s="68">
        <f t="shared" si="4"/>
        <v>0</v>
      </c>
      <c r="G43" s="70">
        <f t="shared" si="5"/>
        <v>0</v>
      </c>
      <c r="H43" s="52">
        <f t="shared" si="6"/>
        <v>0</v>
      </c>
      <c r="I43" s="65">
        <f t="shared" si="7"/>
        <v>0</v>
      </c>
      <c r="J43" s="65"/>
      <c r="K43" s="132"/>
      <c r="L43" s="67">
        <f t="shared" si="0"/>
        <v>0</v>
      </c>
      <c r="M43" s="132"/>
      <c r="N43" s="67">
        <f t="shared" si="1"/>
        <v>0</v>
      </c>
      <c r="O43" s="67">
        <f t="shared" si="2"/>
        <v>0</v>
      </c>
      <c r="P43" s="4"/>
    </row>
    <row r="44" spans="2:16">
      <c r="B44" s="9" t="str">
        <f t="shared" si="8"/>
        <v/>
      </c>
      <c r="C44" s="62">
        <f>IF(D11="","-",+C43+1)</f>
        <v>2044</v>
      </c>
      <c r="D44" s="71">
        <f>IF(F43+SUM(E$17:E43)=D$10,F43,D$10-SUM(E$17:E43))</f>
        <v>0</v>
      </c>
      <c r="E44" s="69">
        <f t="shared" si="3"/>
        <v>0</v>
      </c>
      <c r="F44" s="68">
        <f t="shared" si="4"/>
        <v>0</v>
      </c>
      <c r="G44" s="70">
        <f t="shared" si="5"/>
        <v>0</v>
      </c>
      <c r="H44" s="52">
        <f t="shared" si="6"/>
        <v>0</v>
      </c>
      <c r="I44" s="65">
        <f t="shared" si="7"/>
        <v>0</v>
      </c>
      <c r="J44" s="65"/>
      <c r="K44" s="132"/>
      <c r="L44" s="67">
        <f t="shared" si="0"/>
        <v>0</v>
      </c>
      <c r="M44" s="132"/>
      <c r="N44" s="67">
        <f t="shared" si="1"/>
        <v>0</v>
      </c>
      <c r="O44" s="67">
        <f t="shared" si="2"/>
        <v>0</v>
      </c>
      <c r="P44" s="4"/>
    </row>
    <row r="45" spans="2:16">
      <c r="B45" s="9" t="str">
        <f t="shared" si="8"/>
        <v/>
      </c>
      <c r="C45" s="62">
        <f>IF(D11="","-",+C44+1)</f>
        <v>2045</v>
      </c>
      <c r="D45" s="71">
        <f>IF(F44+SUM(E$17:E44)=D$10,F44,D$10-SUM(E$17:E44))</f>
        <v>0</v>
      </c>
      <c r="E45" s="69">
        <f t="shared" si="3"/>
        <v>0</v>
      </c>
      <c r="F45" s="68">
        <f t="shared" si="4"/>
        <v>0</v>
      </c>
      <c r="G45" s="70">
        <f t="shared" si="5"/>
        <v>0</v>
      </c>
      <c r="H45" s="52">
        <f t="shared" si="6"/>
        <v>0</v>
      </c>
      <c r="I45" s="65">
        <f t="shared" si="7"/>
        <v>0</v>
      </c>
      <c r="J45" s="65"/>
      <c r="K45" s="132"/>
      <c r="L45" s="67">
        <f t="shared" si="0"/>
        <v>0</v>
      </c>
      <c r="M45" s="132"/>
      <c r="N45" s="67">
        <f t="shared" si="1"/>
        <v>0</v>
      </c>
      <c r="O45" s="67">
        <f t="shared" si="2"/>
        <v>0</v>
      </c>
      <c r="P45" s="4"/>
    </row>
    <row r="46" spans="2:16">
      <c r="B46" s="9" t="str">
        <f t="shared" si="8"/>
        <v/>
      </c>
      <c r="C46" s="62">
        <f>IF(D11="","-",+C45+1)</f>
        <v>2046</v>
      </c>
      <c r="D46" s="71">
        <f>IF(F45+SUM(E$17:E45)=D$10,F45,D$10-SUM(E$17:E45))</f>
        <v>0</v>
      </c>
      <c r="E46" s="69">
        <f t="shared" si="3"/>
        <v>0</v>
      </c>
      <c r="F46" s="68">
        <f t="shared" si="4"/>
        <v>0</v>
      </c>
      <c r="G46" s="70">
        <f t="shared" si="5"/>
        <v>0</v>
      </c>
      <c r="H46" s="52">
        <f t="shared" si="6"/>
        <v>0</v>
      </c>
      <c r="I46" s="65">
        <f t="shared" si="7"/>
        <v>0</v>
      </c>
      <c r="J46" s="65"/>
      <c r="K46" s="132"/>
      <c r="L46" s="67">
        <f t="shared" si="0"/>
        <v>0</v>
      </c>
      <c r="M46" s="132"/>
      <c r="N46" s="67">
        <f t="shared" si="1"/>
        <v>0</v>
      </c>
      <c r="O46" s="67">
        <f t="shared" si="2"/>
        <v>0</v>
      </c>
      <c r="P46" s="4"/>
    </row>
    <row r="47" spans="2:16">
      <c r="B47" s="9" t="str">
        <f t="shared" si="8"/>
        <v/>
      </c>
      <c r="C47" s="62">
        <f>IF(D11="","-",+C46+1)</f>
        <v>2047</v>
      </c>
      <c r="D47" s="71">
        <f>IF(F46+SUM(E$17:E46)=D$10,F46,D$10-SUM(E$17:E46))</f>
        <v>0</v>
      </c>
      <c r="E47" s="69">
        <f t="shared" si="3"/>
        <v>0</v>
      </c>
      <c r="F47" s="68">
        <f t="shared" si="4"/>
        <v>0</v>
      </c>
      <c r="G47" s="70">
        <f t="shared" si="5"/>
        <v>0</v>
      </c>
      <c r="H47" s="52">
        <f t="shared" si="6"/>
        <v>0</v>
      </c>
      <c r="I47" s="65">
        <f t="shared" si="7"/>
        <v>0</v>
      </c>
      <c r="J47" s="65"/>
      <c r="K47" s="132"/>
      <c r="L47" s="67">
        <f t="shared" si="0"/>
        <v>0</v>
      </c>
      <c r="M47" s="132"/>
      <c r="N47" s="67">
        <f t="shared" si="1"/>
        <v>0</v>
      </c>
      <c r="O47" s="67">
        <f t="shared" si="2"/>
        <v>0</v>
      </c>
      <c r="P47" s="4"/>
    </row>
    <row r="48" spans="2:16">
      <c r="B48" s="9" t="str">
        <f t="shared" si="8"/>
        <v/>
      </c>
      <c r="C48" s="62">
        <f>IF(D11="","-",+C47+1)</f>
        <v>2048</v>
      </c>
      <c r="D48" s="71">
        <f>IF(F47+SUM(E$17:E47)=D$10,F47,D$10-SUM(E$17:E47))</f>
        <v>0</v>
      </c>
      <c r="E48" s="69">
        <f t="shared" si="3"/>
        <v>0</v>
      </c>
      <c r="F48" s="68">
        <f t="shared" si="4"/>
        <v>0</v>
      </c>
      <c r="G48" s="70">
        <f t="shared" si="5"/>
        <v>0</v>
      </c>
      <c r="H48" s="52">
        <f t="shared" si="6"/>
        <v>0</v>
      </c>
      <c r="I48" s="65">
        <f t="shared" si="7"/>
        <v>0</v>
      </c>
      <c r="J48" s="65"/>
      <c r="K48" s="132"/>
      <c r="L48" s="67">
        <f t="shared" si="0"/>
        <v>0</v>
      </c>
      <c r="M48" s="132"/>
      <c r="N48" s="67">
        <f t="shared" si="1"/>
        <v>0</v>
      </c>
      <c r="O48" s="67">
        <f t="shared" si="2"/>
        <v>0</v>
      </c>
      <c r="P48" s="4"/>
    </row>
    <row r="49" spans="2:16">
      <c r="B49" s="9" t="str">
        <f t="shared" si="8"/>
        <v/>
      </c>
      <c r="C49" s="62">
        <f>IF(D11="","-",+C48+1)</f>
        <v>2049</v>
      </c>
      <c r="D49" s="71">
        <f>IF(F48+SUM(E$17:E48)=D$10,F48,D$10-SUM(E$17:E48))</f>
        <v>0</v>
      </c>
      <c r="E49" s="69">
        <f t="shared" si="3"/>
        <v>0</v>
      </c>
      <c r="F49" s="68">
        <f t="shared" si="4"/>
        <v>0</v>
      </c>
      <c r="G49" s="70">
        <f t="shared" si="5"/>
        <v>0</v>
      </c>
      <c r="H49" s="52">
        <f t="shared" si="6"/>
        <v>0</v>
      </c>
      <c r="I49" s="65">
        <f t="shared" si="7"/>
        <v>0</v>
      </c>
      <c r="J49" s="65"/>
      <c r="K49" s="132"/>
      <c r="L49" s="67">
        <f t="shared" ref="L49:L72" si="9">IF(K49&lt;&gt;0,+G49-K49,0)</f>
        <v>0</v>
      </c>
      <c r="M49" s="132"/>
      <c r="N49" s="67">
        <f t="shared" ref="N49:N72" si="10">IF(M49&lt;&gt;0,+H49-M49,0)</f>
        <v>0</v>
      </c>
      <c r="O49" s="67">
        <f t="shared" ref="O49:O72" si="11">+N49-L49</f>
        <v>0</v>
      </c>
      <c r="P49" s="4"/>
    </row>
    <row r="50" spans="2:16">
      <c r="B50" s="9" t="str">
        <f t="shared" si="8"/>
        <v/>
      </c>
      <c r="C50" s="62">
        <f>IF(D11="","-",+C49+1)</f>
        <v>2050</v>
      </c>
      <c r="D50" s="71">
        <f>IF(F49+SUM(E$17:E49)=D$10,F49,D$10-SUM(E$17:E49))</f>
        <v>0</v>
      </c>
      <c r="E50" s="69">
        <f t="shared" si="3"/>
        <v>0</v>
      </c>
      <c r="F50" s="68">
        <f t="shared" si="4"/>
        <v>0</v>
      </c>
      <c r="G50" s="70">
        <f t="shared" si="5"/>
        <v>0</v>
      </c>
      <c r="H50" s="52">
        <f t="shared" si="6"/>
        <v>0</v>
      </c>
      <c r="I50" s="65">
        <f t="shared" si="7"/>
        <v>0</v>
      </c>
      <c r="J50" s="65"/>
      <c r="K50" s="132"/>
      <c r="L50" s="67">
        <f t="shared" si="9"/>
        <v>0</v>
      </c>
      <c r="M50" s="132"/>
      <c r="N50" s="67">
        <f t="shared" si="10"/>
        <v>0</v>
      </c>
      <c r="O50" s="67">
        <f t="shared" si="11"/>
        <v>0</v>
      </c>
      <c r="P50" s="4"/>
    </row>
    <row r="51" spans="2:16">
      <c r="B51" s="9" t="str">
        <f t="shared" si="8"/>
        <v/>
      </c>
      <c r="C51" s="62">
        <f>IF(D11="","-",+C50+1)</f>
        <v>2051</v>
      </c>
      <c r="D51" s="71">
        <f>IF(F50+SUM(E$17:E50)=D$10,F50,D$10-SUM(E$17:E50))</f>
        <v>0</v>
      </c>
      <c r="E51" s="69">
        <f t="shared" si="3"/>
        <v>0</v>
      </c>
      <c r="F51" s="68">
        <f t="shared" si="4"/>
        <v>0</v>
      </c>
      <c r="G51" s="70">
        <f t="shared" si="5"/>
        <v>0</v>
      </c>
      <c r="H51" s="52">
        <f t="shared" si="6"/>
        <v>0</v>
      </c>
      <c r="I51" s="65">
        <f t="shared" si="7"/>
        <v>0</v>
      </c>
      <c r="J51" s="65"/>
      <c r="K51" s="132"/>
      <c r="L51" s="67">
        <f t="shared" si="9"/>
        <v>0</v>
      </c>
      <c r="M51" s="132"/>
      <c r="N51" s="67">
        <f t="shared" si="10"/>
        <v>0</v>
      </c>
      <c r="O51" s="67">
        <f t="shared" si="11"/>
        <v>0</v>
      </c>
      <c r="P51" s="4"/>
    </row>
    <row r="52" spans="2:16">
      <c r="B52" s="9" t="str">
        <f t="shared" si="8"/>
        <v/>
      </c>
      <c r="C52" s="62">
        <f>IF(D11="","-",+C51+1)</f>
        <v>2052</v>
      </c>
      <c r="D52" s="71">
        <f>IF(F51+SUM(E$17:E51)=D$10,F51,D$10-SUM(E$17:E51))</f>
        <v>0</v>
      </c>
      <c r="E52" s="69">
        <f t="shared" si="3"/>
        <v>0</v>
      </c>
      <c r="F52" s="68">
        <f t="shared" si="4"/>
        <v>0</v>
      </c>
      <c r="G52" s="70">
        <f t="shared" si="5"/>
        <v>0</v>
      </c>
      <c r="H52" s="52">
        <f t="shared" si="6"/>
        <v>0</v>
      </c>
      <c r="I52" s="65">
        <f t="shared" si="7"/>
        <v>0</v>
      </c>
      <c r="J52" s="65"/>
      <c r="K52" s="132"/>
      <c r="L52" s="67">
        <f t="shared" si="9"/>
        <v>0</v>
      </c>
      <c r="M52" s="132"/>
      <c r="N52" s="67">
        <f t="shared" si="10"/>
        <v>0</v>
      </c>
      <c r="O52" s="67">
        <f t="shared" si="11"/>
        <v>0</v>
      </c>
      <c r="P52" s="4"/>
    </row>
    <row r="53" spans="2:16">
      <c r="B53" s="9" t="str">
        <f t="shared" si="8"/>
        <v/>
      </c>
      <c r="C53" s="62">
        <f>IF(D11="","-",+C52+1)</f>
        <v>2053</v>
      </c>
      <c r="D53" s="71">
        <f>IF(F52+SUM(E$17:E52)=D$10,F52,D$10-SUM(E$17:E52))</f>
        <v>0</v>
      </c>
      <c r="E53" s="69">
        <f t="shared" si="3"/>
        <v>0</v>
      </c>
      <c r="F53" s="68">
        <f t="shared" si="4"/>
        <v>0</v>
      </c>
      <c r="G53" s="70">
        <f t="shared" si="5"/>
        <v>0</v>
      </c>
      <c r="H53" s="52">
        <f t="shared" si="6"/>
        <v>0</v>
      </c>
      <c r="I53" s="65">
        <f t="shared" si="7"/>
        <v>0</v>
      </c>
      <c r="J53" s="65"/>
      <c r="K53" s="132"/>
      <c r="L53" s="67">
        <f t="shared" si="9"/>
        <v>0</v>
      </c>
      <c r="M53" s="132"/>
      <c r="N53" s="67">
        <f t="shared" si="10"/>
        <v>0</v>
      </c>
      <c r="O53" s="67">
        <f t="shared" si="11"/>
        <v>0</v>
      </c>
      <c r="P53" s="4"/>
    </row>
    <row r="54" spans="2:16">
      <c r="B54" s="9" t="str">
        <f t="shared" si="8"/>
        <v/>
      </c>
      <c r="C54" s="62">
        <f>IF(D11="","-",+C53+1)</f>
        <v>2054</v>
      </c>
      <c r="D54" s="71">
        <f>IF(F53+SUM(E$17:E53)=D$10,F53,D$10-SUM(E$17:E53))</f>
        <v>0</v>
      </c>
      <c r="E54" s="69">
        <f t="shared" si="3"/>
        <v>0</v>
      </c>
      <c r="F54" s="68">
        <f t="shared" si="4"/>
        <v>0</v>
      </c>
      <c r="G54" s="70">
        <f t="shared" si="5"/>
        <v>0</v>
      </c>
      <c r="H54" s="52">
        <f t="shared" si="6"/>
        <v>0</v>
      </c>
      <c r="I54" s="65">
        <f t="shared" si="7"/>
        <v>0</v>
      </c>
      <c r="J54" s="65"/>
      <c r="K54" s="132"/>
      <c r="L54" s="67">
        <f t="shared" si="9"/>
        <v>0</v>
      </c>
      <c r="M54" s="132"/>
      <c r="N54" s="67">
        <f t="shared" si="10"/>
        <v>0</v>
      </c>
      <c r="O54" s="67">
        <f t="shared" si="11"/>
        <v>0</v>
      </c>
      <c r="P54" s="4"/>
    </row>
    <row r="55" spans="2:16">
      <c r="B55" s="9" t="str">
        <f t="shared" si="8"/>
        <v/>
      </c>
      <c r="C55" s="62">
        <f>IF(D11="","-",+C54+1)</f>
        <v>2055</v>
      </c>
      <c r="D55" s="71">
        <f>IF(F54+SUM(E$17:E54)=D$10,F54,D$10-SUM(E$17:E54))</f>
        <v>0</v>
      </c>
      <c r="E55" s="69">
        <f t="shared" si="3"/>
        <v>0</v>
      </c>
      <c r="F55" s="68">
        <f t="shared" si="4"/>
        <v>0</v>
      </c>
      <c r="G55" s="70">
        <f t="shared" si="5"/>
        <v>0</v>
      </c>
      <c r="H55" s="52">
        <f t="shared" si="6"/>
        <v>0</v>
      </c>
      <c r="I55" s="65">
        <f t="shared" si="7"/>
        <v>0</v>
      </c>
      <c r="J55" s="65"/>
      <c r="K55" s="132"/>
      <c r="L55" s="67">
        <f t="shared" si="9"/>
        <v>0</v>
      </c>
      <c r="M55" s="132"/>
      <c r="N55" s="67">
        <f t="shared" si="10"/>
        <v>0</v>
      </c>
      <c r="O55" s="67">
        <f t="shared" si="11"/>
        <v>0</v>
      </c>
      <c r="P55" s="4"/>
    </row>
    <row r="56" spans="2:16">
      <c r="B56" s="9" t="str">
        <f t="shared" si="8"/>
        <v/>
      </c>
      <c r="C56" s="62">
        <f>IF(D11="","-",+C55+1)</f>
        <v>2056</v>
      </c>
      <c r="D56" s="71">
        <f>IF(F55+SUM(E$17:E55)=D$10,F55,D$10-SUM(E$17:E55))</f>
        <v>0</v>
      </c>
      <c r="E56" s="69">
        <f t="shared" si="3"/>
        <v>0</v>
      </c>
      <c r="F56" s="68">
        <f t="shared" si="4"/>
        <v>0</v>
      </c>
      <c r="G56" s="70">
        <f t="shared" si="5"/>
        <v>0</v>
      </c>
      <c r="H56" s="52">
        <f t="shared" si="6"/>
        <v>0</v>
      </c>
      <c r="I56" s="65">
        <f t="shared" si="7"/>
        <v>0</v>
      </c>
      <c r="J56" s="65"/>
      <c r="K56" s="132"/>
      <c r="L56" s="67">
        <f t="shared" si="9"/>
        <v>0</v>
      </c>
      <c r="M56" s="132"/>
      <c r="N56" s="67">
        <f t="shared" si="10"/>
        <v>0</v>
      </c>
      <c r="O56" s="67">
        <f t="shared" si="11"/>
        <v>0</v>
      </c>
      <c r="P56" s="4"/>
    </row>
    <row r="57" spans="2:16">
      <c r="B57" s="9" t="str">
        <f t="shared" si="8"/>
        <v/>
      </c>
      <c r="C57" s="62">
        <f>IF(D11="","-",+C56+1)</f>
        <v>2057</v>
      </c>
      <c r="D57" s="71">
        <f>IF(F56+SUM(E$17:E56)=D$10,F56,D$10-SUM(E$17:E56))</f>
        <v>0</v>
      </c>
      <c r="E57" s="69">
        <f t="shared" si="3"/>
        <v>0</v>
      </c>
      <c r="F57" s="68">
        <f t="shared" si="4"/>
        <v>0</v>
      </c>
      <c r="G57" s="70">
        <f t="shared" si="5"/>
        <v>0</v>
      </c>
      <c r="H57" s="52">
        <f t="shared" si="6"/>
        <v>0</v>
      </c>
      <c r="I57" s="65">
        <f t="shared" si="7"/>
        <v>0</v>
      </c>
      <c r="J57" s="65"/>
      <c r="K57" s="132"/>
      <c r="L57" s="67">
        <f t="shared" si="9"/>
        <v>0</v>
      </c>
      <c r="M57" s="132"/>
      <c r="N57" s="67">
        <f t="shared" si="10"/>
        <v>0</v>
      </c>
      <c r="O57" s="67">
        <f t="shared" si="11"/>
        <v>0</v>
      </c>
      <c r="P57" s="4"/>
    </row>
    <row r="58" spans="2:16">
      <c r="B58" s="9" t="str">
        <f t="shared" si="8"/>
        <v/>
      </c>
      <c r="C58" s="62">
        <f>IF(D11="","-",+C57+1)</f>
        <v>2058</v>
      </c>
      <c r="D58" s="71">
        <f>IF(F57+SUM(E$17:E57)=D$10,F57,D$10-SUM(E$17:E57))</f>
        <v>0</v>
      </c>
      <c r="E58" s="69">
        <f t="shared" si="3"/>
        <v>0</v>
      </c>
      <c r="F58" s="68">
        <f t="shared" si="4"/>
        <v>0</v>
      </c>
      <c r="G58" s="70">
        <f t="shared" si="5"/>
        <v>0</v>
      </c>
      <c r="H58" s="52">
        <f t="shared" si="6"/>
        <v>0</v>
      </c>
      <c r="I58" s="65">
        <f t="shared" si="7"/>
        <v>0</v>
      </c>
      <c r="J58" s="65"/>
      <c r="K58" s="132"/>
      <c r="L58" s="67">
        <f t="shared" si="9"/>
        <v>0</v>
      </c>
      <c r="M58" s="132"/>
      <c r="N58" s="67">
        <f t="shared" si="10"/>
        <v>0</v>
      </c>
      <c r="O58" s="67">
        <f t="shared" si="11"/>
        <v>0</v>
      </c>
      <c r="P58" s="4"/>
    </row>
    <row r="59" spans="2:16">
      <c r="B59" s="9" t="str">
        <f t="shared" si="8"/>
        <v/>
      </c>
      <c r="C59" s="62">
        <f>IF(D11="","-",+C58+1)</f>
        <v>2059</v>
      </c>
      <c r="D59" s="71">
        <f>IF(F58+SUM(E$17:E58)=D$10,F58,D$10-SUM(E$17:E58))</f>
        <v>0</v>
      </c>
      <c r="E59" s="69">
        <f t="shared" si="3"/>
        <v>0</v>
      </c>
      <c r="F59" s="68">
        <f t="shared" si="4"/>
        <v>0</v>
      </c>
      <c r="G59" s="70">
        <f t="shared" si="5"/>
        <v>0</v>
      </c>
      <c r="H59" s="52">
        <f t="shared" si="6"/>
        <v>0</v>
      </c>
      <c r="I59" s="65">
        <f t="shared" si="7"/>
        <v>0</v>
      </c>
      <c r="J59" s="65"/>
      <c r="K59" s="132"/>
      <c r="L59" s="67">
        <f t="shared" si="9"/>
        <v>0</v>
      </c>
      <c r="M59" s="132"/>
      <c r="N59" s="67">
        <f t="shared" si="10"/>
        <v>0</v>
      </c>
      <c r="O59" s="67">
        <f t="shared" si="11"/>
        <v>0</v>
      </c>
      <c r="P59" s="4"/>
    </row>
    <row r="60" spans="2:16">
      <c r="B60" s="9" t="str">
        <f t="shared" si="8"/>
        <v/>
      </c>
      <c r="C60" s="62">
        <f>IF(D11="","-",+C59+1)</f>
        <v>2060</v>
      </c>
      <c r="D60" s="71">
        <f>IF(F59+SUM(E$17:E59)=D$10,F59,D$10-SUM(E$17:E59))</f>
        <v>0</v>
      </c>
      <c r="E60" s="69">
        <f t="shared" si="3"/>
        <v>0</v>
      </c>
      <c r="F60" s="68">
        <f t="shared" si="4"/>
        <v>0</v>
      </c>
      <c r="G60" s="70">
        <f t="shared" si="5"/>
        <v>0</v>
      </c>
      <c r="H60" s="52">
        <f t="shared" si="6"/>
        <v>0</v>
      </c>
      <c r="I60" s="65">
        <f t="shared" si="7"/>
        <v>0</v>
      </c>
      <c r="J60" s="65"/>
      <c r="K60" s="132"/>
      <c r="L60" s="67">
        <f t="shared" si="9"/>
        <v>0</v>
      </c>
      <c r="M60" s="132"/>
      <c r="N60" s="67">
        <f t="shared" si="10"/>
        <v>0</v>
      </c>
      <c r="O60" s="67">
        <f t="shared" si="11"/>
        <v>0</v>
      </c>
      <c r="P60" s="4"/>
    </row>
    <row r="61" spans="2:16">
      <c r="B61" s="9" t="str">
        <f t="shared" si="8"/>
        <v/>
      </c>
      <c r="C61" s="62">
        <f>IF(D11="","-",+C60+1)</f>
        <v>2061</v>
      </c>
      <c r="D61" s="71">
        <f>IF(F60+SUM(E$17:E60)=D$10,F60,D$10-SUM(E$17:E60))</f>
        <v>0</v>
      </c>
      <c r="E61" s="69">
        <f t="shared" si="3"/>
        <v>0</v>
      </c>
      <c r="F61" s="68">
        <f t="shared" si="4"/>
        <v>0</v>
      </c>
      <c r="G61" s="70">
        <f t="shared" si="5"/>
        <v>0</v>
      </c>
      <c r="H61" s="52">
        <f t="shared" si="6"/>
        <v>0</v>
      </c>
      <c r="I61" s="65">
        <f t="shared" si="7"/>
        <v>0</v>
      </c>
      <c r="J61" s="65"/>
      <c r="K61" s="132"/>
      <c r="L61" s="67">
        <f t="shared" si="9"/>
        <v>0</v>
      </c>
      <c r="M61" s="132"/>
      <c r="N61" s="67">
        <f t="shared" si="10"/>
        <v>0</v>
      </c>
      <c r="O61" s="67">
        <f t="shared" si="11"/>
        <v>0</v>
      </c>
      <c r="P61" s="4"/>
    </row>
    <row r="62" spans="2:16">
      <c r="B62" s="9" t="str">
        <f t="shared" si="8"/>
        <v/>
      </c>
      <c r="C62" s="62">
        <f>IF(D11="","-",+C61+1)</f>
        <v>2062</v>
      </c>
      <c r="D62" s="71">
        <f>IF(F61+SUM(E$17:E61)=D$10,F61,D$10-SUM(E$17:E61))</f>
        <v>0</v>
      </c>
      <c r="E62" s="69">
        <f t="shared" si="3"/>
        <v>0</v>
      </c>
      <c r="F62" s="68">
        <f t="shared" si="4"/>
        <v>0</v>
      </c>
      <c r="G62" s="70">
        <f t="shared" si="5"/>
        <v>0</v>
      </c>
      <c r="H62" s="52">
        <f t="shared" si="6"/>
        <v>0</v>
      </c>
      <c r="I62" s="65">
        <f t="shared" si="7"/>
        <v>0</v>
      </c>
      <c r="J62" s="65"/>
      <c r="K62" s="132"/>
      <c r="L62" s="67">
        <f t="shared" si="9"/>
        <v>0</v>
      </c>
      <c r="M62" s="132"/>
      <c r="N62" s="67">
        <f t="shared" si="10"/>
        <v>0</v>
      </c>
      <c r="O62" s="67">
        <f t="shared" si="11"/>
        <v>0</v>
      </c>
      <c r="P62" s="4"/>
    </row>
    <row r="63" spans="2:16">
      <c r="B63" s="9" t="str">
        <f t="shared" si="8"/>
        <v/>
      </c>
      <c r="C63" s="62">
        <f>IF(D11="","-",+C62+1)</f>
        <v>2063</v>
      </c>
      <c r="D63" s="71">
        <f>IF(F62+SUM(E$17:E62)=D$10,F62,D$10-SUM(E$17:E62))</f>
        <v>0</v>
      </c>
      <c r="E63" s="69">
        <f t="shared" si="3"/>
        <v>0</v>
      </c>
      <c r="F63" s="68">
        <f t="shared" si="4"/>
        <v>0</v>
      </c>
      <c r="G63" s="70">
        <f t="shared" si="5"/>
        <v>0</v>
      </c>
      <c r="H63" s="52">
        <f t="shared" si="6"/>
        <v>0</v>
      </c>
      <c r="I63" s="65">
        <f t="shared" si="7"/>
        <v>0</v>
      </c>
      <c r="J63" s="65"/>
      <c r="K63" s="132"/>
      <c r="L63" s="67">
        <f t="shared" si="9"/>
        <v>0</v>
      </c>
      <c r="M63" s="132"/>
      <c r="N63" s="67">
        <f t="shared" si="10"/>
        <v>0</v>
      </c>
      <c r="O63" s="67">
        <f t="shared" si="11"/>
        <v>0</v>
      </c>
      <c r="P63" s="4"/>
    </row>
    <row r="64" spans="2:16">
      <c r="B64" s="9" t="str">
        <f t="shared" si="8"/>
        <v/>
      </c>
      <c r="C64" s="62">
        <f>IF(D11="","-",+C63+1)</f>
        <v>2064</v>
      </c>
      <c r="D64" s="71">
        <f>IF(F63+SUM(E$17:E63)=D$10,F63,D$10-SUM(E$17:E63))</f>
        <v>0</v>
      </c>
      <c r="E64" s="69">
        <f t="shared" si="3"/>
        <v>0</v>
      </c>
      <c r="F64" s="68">
        <f t="shared" si="4"/>
        <v>0</v>
      </c>
      <c r="G64" s="70">
        <f t="shared" si="5"/>
        <v>0</v>
      </c>
      <c r="H64" s="52">
        <f t="shared" si="6"/>
        <v>0</v>
      </c>
      <c r="I64" s="65">
        <f t="shared" si="7"/>
        <v>0</v>
      </c>
      <c r="J64" s="65"/>
      <c r="K64" s="132"/>
      <c r="L64" s="67">
        <f t="shared" si="9"/>
        <v>0</v>
      </c>
      <c r="M64" s="132"/>
      <c r="N64" s="67">
        <f t="shared" si="10"/>
        <v>0</v>
      </c>
      <c r="O64" s="67">
        <f t="shared" si="11"/>
        <v>0</v>
      </c>
      <c r="P64" s="4"/>
    </row>
    <row r="65" spans="2:16">
      <c r="B65" s="9" t="str">
        <f t="shared" si="8"/>
        <v/>
      </c>
      <c r="C65" s="62">
        <f>IF(D11="","-",+C64+1)</f>
        <v>2065</v>
      </c>
      <c r="D65" s="71">
        <f>IF(F64+SUM(E$17:E64)=D$10,F64,D$10-SUM(E$17:E64))</f>
        <v>0</v>
      </c>
      <c r="E65" s="69">
        <f t="shared" si="3"/>
        <v>0</v>
      </c>
      <c r="F65" s="68">
        <f t="shared" si="4"/>
        <v>0</v>
      </c>
      <c r="G65" s="70">
        <f t="shared" si="5"/>
        <v>0</v>
      </c>
      <c r="H65" s="52">
        <f t="shared" si="6"/>
        <v>0</v>
      </c>
      <c r="I65" s="65">
        <f t="shared" si="7"/>
        <v>0</v>
      </c>
      <c r="J65" s="65"/>
      <c r="K65" s="132"/>
      <c r="L65" s="67">
        <f t="shared" si="9"/>
        <v>0</v>
      </c>
      <c r="M65" s="132"/>
      <c r="N65" s="67">
        <f t="shared" si="10"/>
        <v>0</v>
      </c>
      <c r="O65" s="67">
        <f t="shared" si="11"/>
        <v>0</v>
      </c>
      <c r="P65" s="4"/>
    </row>
    <row r="66" spans="2:16">
      <c r="B66" s="9" t="str">
        <f t="shared" si="8"/>
        <v/>
      </c>
      <c r="C66" s="62">
        <f>IF(D11="","-",+C65+1)</f>
        <v>2066</v>
      </c>
      <c r="D66" s="71">
        <f>IF(F65+SUM(E$17:E65)=D$10,F65,D$10-SUM(E$17:E65))</f>
        <v>0</v>
      </c>
      <c r="E66" s="69">
        <f t="shared" si="3"/>
        <v>0</v>
      </c>
      <c r="F66" s="68">
        <f t="shared" si="4"/>
        <v>0</v>
      </c>
      <c r="G66" s="70">
        <f t="shared" si="5"/>
        <v>0</v>
      </c>
      <c r="H66" s="52">
        <f t="shared" si="6"/>
        <v>0</v>
      </c>
      <c r="I66" s="65">
        <f t="shared" si="7"/>
        <v>0</v>
      </c>
      <c r="J66" s="65"/>
      <c r="K66" s="132"/>
      <c r="L66" s="67">
        <f t="shared" si="9"/>
        <v>0</v>
      </c>
      <c r="M66" s="132"/>
      <c r="N66" s="67">
        <f t="shared" si="10"/>
        <v>0</v>
      </c>
      <c r="O66" s="67">
        <f t="shared" si="11"/>
        <v>0</v>
      </c>
      <c r="P66" s="4"/>
    </row>
    <row r="67" spans="2:16">
      <c r="B67" s="9" t="str">
        <f t="shared" si="8"/>
        <v/>
      </c>
      <c r="C67" s="62">
        <f>IF(D11="","-",+C66+1)</f>
        <v>2067</v>
      </c>
      <c r="D67" s="71">
        <f>IF(F66+SUM(E$17:E66)=D$10,F66,D$10-SUM(E$17:E66))</f>
        <v>0</v>
      </c>
      <c r="E67" s="69">
        <f t="shared" si="3"/>
        <v>0</v>
      </c>
      <c r="F67" s="68">
        <f t="shared" si="4"/>
        <v>0</v>
      </c>
      <c r="G67" s="70">
        <f t="shared" si="5"/>
        <v>0</v>
      </c>
      <c r="H67" s="52">
        <f t="shared" si="6"/>
        <v>0</v>
      </c>
      <c r="I67" s="65">
        <f t="shared" si="7"/>
        <v>0</v>
      </c>
      <c r="J67" s="65"/>
      <c r="K67" s="132"/>
      <c r="L67" s="67">
        <f t="shared" si="9"/>
        <v>0</v>
      </c>
      <c r="M67" s="132"/>
      <c r="N67" s="67">
        <f t="shared" si="10"/>
        <v>0</v>
      </c>
      <c r="O67" s="67">
        <f t="shared" si="11"/>
        <v>0</v>
      </c>
      <c r="P67" s="4"/>
    </row>
    <row r="68" spans="2:16">
      <c r="B68" s="9" t="str">
        <f t="shared" si="8"/>
        <v/>
      </c>
      <c r="C68" s="62">
        <f>IF(D11="","-",+C67+1)</f>
        <v>2068</v>
      </c>
      <c r="D68" s="71">
        <f>IF(F67+SUM(E$17:E67)=D$10,F67,D$10-SUM(E$17:E67))</f>
        <v>0</v>
      </c>
      <c r="E68" s="69">
        <f t="shared" si="3"/>
        <v>0</v>
      </c>
      <c r="F68" s="68">
        <f t="shared" si="4"/>
        <v>0</v>
      </c>
      <c r="G68" s="70">
        <f t="shared" si="5"/>
        <v>0</v>
      </c>
      <c r="H68" s="52">
        <f t="shared" si="6"/>
        <v>0</v>
      </c>
      <c r="I68" s="65">
        <f t="shared" si="7"/>
        <v>0</v>
      </c>
      <c r="J68" s="65"/>
      <c r="K68" s="132"/>
      <c r="L68" s="67">
        <f t="shared" si="9"/>
        <v>0</v>
      </c>
      <c r="M68" s="132"/>
      <c r="N68" s="67">
        <f t="shared" si="10"/>
        <v>0</v>
      </c>
      <c r="O68" s="67">
        <f t="shared" si="11"/>
        <v>0</v>
      </c>
      <c r="P68" s="4"/>
    </row>
    <row r="69" spans="2:16">
      <c r="B69" s="9" t="str">
        <f t="shared" si="8"/>
        <v/>
      </c>
      <c r="C69" s="62">
        <f>IF(D11="","-",+C68+1)</f>
        <v>2069</v>
      </c>
      <c r="D69" s="71">
        <f>IF(F68+SUM(E$17:E68)=D$10,F68,D$10-SUM(E$17:E68))</f>
        <v>0</v>
      </c>
      <c r="E69" s="69">
        <f t="shared" si="3"/>
        <v>0</v>
      </c>
      <c r="F69" s="68">
        <f t="shared" si="4"/>
        <v>0</v>
      </c>
      <c r="G69" s="70">
        <f t="shared" si="5"/>
        <v>0</v>
      </c>
      <c r="H69" s="52">
        <f t="shared" si="6"/>
        <v>0</v>
      </c>
      <c r="I69" s="65">
        <f t="shared" si="7"/>
        <v>0</v>
      </c>
      <c r="J69" s="65"/>
      <c r="K69" s="132"/>
      <c r="L69" s="67">
        <f t="shared" si="9"/>
        <v>0</v>
      </c>
      <c r="M69" s="132"/>
      <c r="N69" s="67">
        <f t="shared" si="10"/>
        <v>0</v>
      </c>
      <c r="O69" s="67">
        <f t="shared" si="11"/>
        <v>0</v>
      </c>
      <c r="P69" s="4"/>
    </row>
    <row r="70" spans="2:16">
      <c r="B70" s="9" t="str">
        <f t="shared" si="8"/>
        <v/>
      </c>
      <c r="C70" s="62">
        <f>IF(D11="","-",+C69+1)</f>
        <v>2070</v>
      </c>
      <c r="D70" s="71">
        <f>IF(F69+SUM(E$17:E69)=D$10,F69,D$10-SUM(E$17:E69))</f>
        <v>0</v>
      </c>
      <c r="E70" s="69">
        <f t="shared" si="3"/>
        <v>0</v>
      </c>
      <c r="F70" s="68">
        <f t="shared" si="4"/>
        <v>0</v>
      </c>
      <c r="G70" s="70">
        <f t="shared" si="5"/>
        <v>0</v>
      </c>
      <c r="H70" s="52">
        <f t="shared" si="6"/>
        <v>0</v>
      </c>
      <c r="I70" s="65">
        <f t="shared" si="7"/>
        <v>0</v>
      </c>
      <c r="J70" s="65"/>
      <c r="K70" s="132"/>
      <c r="L70" s="67">
        <f t="shared" si="9"/>
        <v>0</v>
      </c>
      <c r="M70" s="132"/>
      <c r="N70" s="67">
        <f t="shared" si="10"/>
        <v>0</v>
      </c>
      <c r="O70" s="67">
        <f t="shared" si="11"/>
        <v>0</v>
      </c>
      <c r="P70" s="4"/>
    </row>
    <row r="71" spans="2:16">
      <c r="B71" s="9" t="str">
        <f t="shared" si="8"/>
        <v/>
      </c>
      <c r="C71" s="62">
        <f>IF(D11="","-",+C70+1)</f>
        <v>2071</v>
      </c>
      <c r="D71" s="71">
        <f>IF(F70+SUM(E$17:E70)=D$10,F70,D$10-SUM(E$17:E70))</f>
        <v>0</v>
      </c>
      <c r="E71" s="69">
        <f t="shared" si="3"/>
        <v>0</v>
      </c>
      <c r="F71" s="68">
        <f t="shared" si="4"/>
        <v>0</v>
      </c>
      <c r="G71" s="70">
        <f t="shared" si="5"/>
        <v>0</v>
      </c>
      <c r="H71" s="52">
        <f t="shared" si="6"/>
        <v>0</v>
      </c>
      <c r="I71" s="65">
        <f t="shared" si="7"/>
        <v>0</v>
      </c>
      <c r="J71" s="65"/>
      <c r="K71" s="132"/>
      <c r="L71" s="67">
        <f t="shared" si="9"/>
        <v>0</v>
      </c>
      <c r="M71" s="132"/>
      <c r="N71" s="67">
        <f t="shared" si="10"/>
        <v>0</v>
      </c>
      <c r="O71" s="67">
        <f t="shared" si="11"/>
        <v>0</v>
      </c>
      <c r="P71" s="4"/>
    </row>
    <row r="72" spans="2:16" ht="13.5" thickBot="1">
      <c r="B72" s="9" t="str">
        <f t="shared" si="8"/>
        <v/>
      </c>
      <c r="C72" s="72">
        <f>IF(D11="","-",+C71+1)</f>
        <v>2072</v>
      </c>
      <c r="D72" s="147">
        <f>IF(F71+SUM(E$17:E71)=D$10,F71,D$10-SUM(E$17:E71))</f>
        <v>0</v>
      </c>
      <c r="E72" s="74">
        <f>IF(+I$14&lt;F71,I$14,D72)</f>
        <v>0</v>
      </c>
      <c r="F72" s="73">
        <f>+D72-E72</f>
        <v>0</v>
      </c>
      <c r="G72" s="146">
        <f>(D72+F72)/2*I$12+E72</f>
        <v>0</v>
      </c>
      <c r="H72" s="35">
        <f>+(D72+F72)/2*I$13+E72</f>
        <v>0</v>
      </c>
      <c r="I72" s="75">
        <f>H72-G72</f>
        <v>0</v>
      </c>
      <c r="J72" s="65"/>
      <c r="K72" s="133"/>
      <c r="L72" s="76">
        <f t="shared" si="9"/>
        <v>0</v>
      </c>
      <c r="M72" s="133"/>
      <c r="N72" s="76">
        <f t="shared" si="10"/>
        <v>0</v>
      </c>
      <c r="O72" s="76">
        <f t="shared" si="11"/>
        <v>0</v>
      </c>
      <c r="P72" s="4"/>
    </row>
    <row r="73" spans="2:16">
      <c r="C73" s="63" t="s">
        <v>77</v>
      </c>
      <c r="D73" s="20"/>
      <c r="E73" s="20">
        <f>SUM(E17:E72)</f>
        <v>0</v>
      </c>
      <c r="F73" s="20"/>
      <c r="G73" s="20">
        <f>SUM(G17:G72)</f>
        <v>0</v>
      </c>
      <c r="H73" s="20">
        <f>SUM(H17:H72)</f>
        <v>0</v>
      </c>
      <c r="I73" s="20">
        <f>SUM(I17:I72)</f>
        <v>0</v>
      </c>
      <c r="J73" s="20"/>
      <c r="K73" s="20"/>
      <c r="L73" s="20"/>
      <c r="M73" s="20"/>
      <c r="N73" s="20"/>
      <c r="O73" s="4"/>
      <c r="P73" s="4"/>
    </row>
    <row r="74" spans="2:16">
      <c r="D74" s="2"/>
      <c r="E74" s="1"/>
      <c r="F74" s="1"/>
      <c r="G74" s="1"/>
      <c r="H74" s="3"/>
      <c r="I74" s="3"/>
      <c r="J74" s="20"/>
      <c r="K74" s="3"/>
      <c r="L74" s="3"/>
      <c r="M74" s="3"/>
      <c r="N74" s="3"/>
      <c r="O74" s="1"/>
      <c r="P74" s="1"/>
    </row>
    <row r="75" spans="2:16">
      <c r="C75" s="77" t="s">
        <v>106</v>
      </c>
      <c r="D75" s="2"/>
      <c r="E75" s="1"/>
      <c r="F75" s="1"/>
      <c r="G75" s="1"/>
      <c r="H75" s="3"/>
      <c r="I75" s="3"/>
      <c r="J75" s="20"/>
      <c r="K75" s="3"/>
      <c r="L75" s="3"/>
      <c r="M75" s="3"/>
      <c r="N75" s="3"/>
      <c r="O75" s="1"/>
      <c r="P75" s="1"/>
    </row>
    <row r="76" spans="2:16">
      <c r="C76" s="32" t="s">
        <v>78</v>
      </c>
      <c r="D76" s="2"/>
      <c r="E76" s="1"/>
      <c r="F76" s="1"/>
      <c r="G76" s="1"/>
      <c r="H76" s="3"/>
      <c r="I76" s="3"/>
      <c r="J76" s="20"/>
      <c r="K76" s="3"/>
      <c r="L76" s="3"/>
      <c r="M76" s="3"/>
      <c r="N76" s="3"/>
      <c r="O76" s="4"/>
      <c r="P76" s="4"/>
    </row>
    <row r="77" spans="2:16">
      <c r="C77" s="32" t="s">
        <v>79</v>
      </c>
      <c r="D77" s="63"/>
      <c r="E77" s="63"/>
      <c r="F77" s="63"/>
      <c r="G77" s="20"/>
      <c r="H77" s="20"/>
      <c r="I77" s="78"/>
      <c r="J77" s="78"/>
      <c r="K77" s="78"/>
      <c r="L77" s="78"/>
      <c r="M77" s="78"/>
      <c r="N77" s="78"/>
      <c r="O77" s="4"/>
      <c r="P77" s="4"/>
    </row>
    <row r="78" spans="2:16">
      <c r="C78" s="32"/>
      <c r="D78" s="63"/>
      <c r="E78" s="63"/>
      <c r="F78" s="63"/>
      <c r="G78" s="20"/>
      <c r="H78" s="20"/>
      <c r="I78" s="78"/>
      <c r="J78" s="78"/>
      <c r="K78" s="78"/>
      <c r="L78" s="78"/>
      <c r="M78" s="78"/>
      <c r="N78" s="78"/>
      <c r="O78" s="4"/>
      <c r="P78" s="1"/>
    </row>
    <row r="79" spans="2:16">
      <c r="B79" s="1"/>
      <c r="C79" s="10"/>
      <c r="D79" s="2"/>
      <c r="E79" s="1"/>
      <c r="F79" s="18"/>
      <c r="G79" s="1"/>
      <c r="H79" s="3"/>
      <c r="I79" s="1"/>
      <c r="J79" s="4"/>
      <c r="K79" s="1"/>
      <c r="L79" s="1"/>
      <c r="M79" s="1"/>
      <c r="N79" s="1"/>
      <c r="O79" s="1"/>
      <c r="P79" s="1"/>
    </row>
    <row r="80" spans="2:16" ht="18">
      <c r="B80" s="1"/>
      <c r="C80" s="109"/>
      <c r="D80" s="2"/>
      <c r="E80" s="1"/>
      <c r="F80" s="18"/>
      <c r="G80" s="1"/>
      <c r="H80" s="3"/>
      <c r="I80" s="1"/>
      <c r="J80" s="4"/>
      <c r="K80" s="1"/>
      <c r="L80" s="1"/>
      <c r="M80" s="1"/>
      <c r="N80" s="1"/>
      <c r="P80" s="111" t="s">
        <v>144</v>
      </c>
    </row>
    <row r="81" spans="1:16">
      <c r="B81" s="1"/>
      <c r="C81" s="10"/>
      <c r="D81" s="2"/>
      <c r="E81" s="1"/>
      <c r="F81" s="18"/>
      <c r="G81" s="1"/>
      <c r="H81" s="3"/>
      <c r="I81" s="1"/>
      <c r="J81" s="4"/>
      <c r="K81" s="1"/>
      <c r="L81" s="1"/>
      <c r="M81" s="1"/>
      <c r="N81" s="1"/>
      <c r="O81" s="1"/>
      <c r="P81" s="1"/>
    </row>
    <row r="82" spans="1:16">
      <c r="B82" s="1"/>
      <c r="C82" s="10"/>
      <c r="D82" s="2"/>
      <c r="E82" s="1"/>
      <c r="F82" s="18"/>
      <c r="G82" s="1"/>
      <c r="H82" s="3"/>
      <c r="I82" s="1"/>
      <c r="J82" s="4"/>
      <c r="K82" s="1"/>
      <c r="L82" s="1"/>
      <c r="M82" s="1"/>
      <c r="N82" s="1"/>
      <c r="O82" s="1"/>
      <c r="P82" s="1"/>
    </row>
    <row r="83" spans="1:16" ht="20.25">
      <c r="A83" s="110" t="s">
        <v>146</v>
      </c>
      <c r="B83" s="1"/>
      <c r="C83" s="10"/>
      <c r="D83" s="2"/>
      <c r="E83" s="1"/>
      <c r="F83" s="15"/>
      <c r="G83" s="15"/>
      <c r="H83" s="1"/>
      <c r="I83" s="3"/>
      <c r="K83" s="7"/>
      <c r="L83" s="19"/>
      <c r="M83" s="19"/>
      <c r="P83" s="19" t="str">
        <f ca="1">P1</f>
        <v>PSO Project nk of 31</v>
      </c>
    </row>
    <row r="84" spans="1:16" ht="18">
      <c r="B84" s="1"/>
      <c r="C84" s="1"/>
      <c r="D84" s="2"/>
      <c r="E84" s="1"/>
      <c r="F84" s="1"/>
      <c r="G84" s="1"/>
      <c r="H84" s="1"/>
      <c r="I84" s="3"/>
      <c r="J84" s="1"/>
      <c r="K84" s="4"/>
      <c r="L84" s="1"/>
      <c r="M84" s="1"/>
      <c r="P84" s="117" t="s">
        <v>151</v>
      </c>
    </row>
    <row r="85" spans="1:16" ht="18.75" thickBot="1">
      <c r="B85" s="5" t="s">
        <v>42</v>
      </c>
      <c r="C85" s="80" t="s">
        <v>91</v>
      </c>
      <c r="D85" s="2"/>
      <c r="E85" s="1"/>
      <c r="F85" s="1"/>
      <c r="G85" s="1"/>
      <c r="H85" s="1"/>
      <c r="I85" s="3"/>
      <c r="J85" s="3"/>
      <c r="K85" s="20"/>
      <c r="L85" s="3"/>
      <c r="M85" s="3"/>
      <c r="N85" s="3"/>
      <c r="O85" s="20"/>
      <c r="P85" s="1"/>
    </row>
    <row r="86" spans="1:16" ht="15.75" thickBot="1">
      <c r="C86" s="13"/>
      <c r="D86" s="2"/>
      <c r="E86" s="1"/>
      <c r="F86" s="1"/>
      <c r="G86" s="1"/>
      <c r="H86" s="1"/>
      <c r="I86" s="3"/>
      <c r="J86" s="3"/>
      <c r="K86" s="20"/>
      <c r="L86" s="118">
        <f>+J92</f>
        <v>2020</v>
      </c>
      <c r="M86" s="119" t="s">
        <v>8</v>
      </c>
      <c r="N86" s="120" t="s">
        <v>153</v>
      </c>
      <c r="O86" s="121" t="s">
        <v>10</v>
      </c>
      <c r="P86" s="1"/>
    </row>
    <row r="87" spans="1:16" ht="15">
      <c r="C87" s="107" t="s">
        <v>44</v>
      </c>
      <c r="D87" s="2"/>
      <c r="E87" s="1"/>
      <c r="F87" s="1"/>
      <c r="G87" s="1"/>
      <c r="H87" s="22"/>
      <c r="I87" s="1" t="s">
        <v>45</v>
      </c>
      <c r="J87" s="1"/>
      <c r="K87" s="122"/>
      <c r="L87" s="123" t="s">
        <v>154</v>
      </c>
      <c r="M87" s="81">
        <f>IF(J92&lt;D11,0,VLOOKUP(J92,C17:O72,9))</f>
        <v>0</v>
      </c>
      <c r="N87" s="81">
        <f>IF(J92&lt;D11,0,VLOOKUP(J92,C17:O72,11))</f>
        <v>0</v>
      </c>
      <c r="O87" s="82">
        <f>+N87-M87</f>
        <v>0</v>
      </c>
      <c r="P87" s="1"/>
    </row>
    <row r="88" spans="1:16" ht="15.75">
      <c r="C88" s="8"/>
      <c r="D88" s="2"/>
      <c r="E88" s="1"/>
      <c r="F88" s="1"/>
      <c r="G88" s="1"/>
      <c r="H88" s="1"/>
      <c r="I88" s="27"/>
      <c r="J88" s="27"/>
      <c r="K88" s="124"/>
      <c r="L88" s="125" t="s">
        <v>155</v>
      </c>
      <c r="M88" s="83">
        <f>IF(J92&lt;D11,0,VLOOKUP(J92,C99:P154,6))</f>
        <v>0</v>
      </c>
      <c r="N88" s="83">
        <f>IF(J92&lt;D11,0,VLOOKUP(J92,C99:P154,7))</f>
        <v>0</v>
      </c>
      <c r="O88" s="84">
        <f>+N88-M88</f>
        <v>0</v>
      </c>
      <c r="P88" s="1"/>
    </row>
    <row r="89" spans="1:16" ht="13.5" thickBot="1">
      <c r="C89" s="32" t="s">
        <v>92</v>
      </c>
      <c r="D89" s="113" t="str">
        <f>+D7</f>
        <v>inset project name here</v>
      </c>
      <c r="E89" s="1"/>
      <c r="F89" s="1"/>
      <c r="G89" s="1"/>
      <c r="H89" s="1"/>
      <c r="I89" s="3"/>
      <c r="J89" s="3"/>
      <c r="K89" s="126"/>
      <c r="L89" s="127" t="s">
        <v>156</v>
      </c>
      <c r="M89" s="86">
        <f>+M88-M87</f>
        <v>0</v>
      </c>
      <c r="N89" s="86">
        <f>+N88-N87</f>
        <v>0</v>
      </c>
      <c r="O89" s="87">
        <f>+O88-O87</f>
        <v>0</v>
      </c>
      <c r="P89" s="1"/>
    </row>
    <row r="90" spans="1:16" ht="13.5" thickBot="1">
      <c r="C90" s="77"/>
      <c r="D90" s="79" t="str">
        <f>D8</f>
        <v>DOES NOT MEET SPP $100,000 MINIMUM INVESTMENT FOR REGIONAL BPU SHARING.</v>
      </c>
      <c r="E90" s="18"/>
      <c r="F90" s="18"/>
      <c r="G90" s="18"/>
      <c r="H90" s="37"/>
      <c r="I90" s="3"/>
      <c r="J90" s="3"/>
      <c r="K90" s="20"/>
      <c r="L90" s="3"/>
      <c r="M90" s="3"/>
      <c r="N90" s="3"/>
      <c r="O90" s="20"/>
      <c r="P90" s="1"/>
    </row>
    <row r="91" spans="1:16" ht="13.5" thickBot="1">
      <c r="A91" s="17"/>
      <c r="C91" s="88" t="s">
        <v>93</v>
      </c>
      <c r="D91" s="105">
        <f>+D9</f>
        <v>0</v>
      </c>
      <c r="E91" s="89"/>
      <c r="F91" s="89"/>
      <c r="G91" s="89"/>
      <c r="H91" s="89"/>
      <c r="I91" s="89"/>
      <c r="J91" s="89"/>
      <c r="K91" s="90"/>
      <c r="P91" s="42"/>
    </row>
    <row r="92" spans="1:16">
      <c r="C92" s="145" t="s">
        <v>226</v>
      </c>
      <c r="D92" s="101">
        <f>IF(D11=I10,0,D10)</f>
        <v>0</v>
      </c>
      <c r="E92" s="10" t="s">
        <v>94</v>
      </c>
      <c r="H92" s="44"/>
      <c r="I92" s="44"/>
      <c r="J92" s="45">
        <f>+'PSO.WS.G.BPU.ATRR.True-up'!M16</f>
        <v>2020</v>
      </c>
      <c r="K92" s="41"/>
      <c r="L92" s="20" t="s">
        <v>95</v>
      </c>
      <c r="P92" s="4"/>
    </row>
    <row r="93" spans="1:16">
      <c r="C93" s="46" t="s">
        <v>53</v>
      </c>
      <c r="D93" s="102">
        <v>2015</v>
      </c>
      <c r="E93" s="46" t="s">
        <v>54</v>
      </c>
      <c r="F93" s="44"/>
      <c r="G93" s="44"/>
      <c r="J93" s="48">
        <f>IF(H87="",0,'PSO.WS.G.BPU.ATRR.True-up'!$F$13)</f>
        <v>0</v>
      </c>
      <c r="K93" s="49"/>
      <c r="L93" t="str">
        <f>"          INPUT TRUE-UP ARR (WITH &amp; WITHOUT INCENTIVES) FROM EACH PRIOR YEAR"</f>
        <v xml:space="preserve">          INPUT TRUE-UP ARR (WITH &amp; WITHOUT INCENTIVES) FROM EACH PRIOR YEAR</v>
      </c>
      <c r="P93" s="4"/>
    </row>
    <row r="94" spans="1:16">
      <c r="C94" s="46" t="s">
        <v>55</v>
      </c>
      <c r="D94" s="101">
        <f>IF(D11=I10,"",D12)</f>
        <v>4</v>
      </c>
      <c r="E94" s="46" t="s">
        <v>56</v>
      </c>
      <c r="F94" s="44"/>
      <c r="G94" s="44"/>
      <c r="J94" s="50">
        <f>'PSO.WS.G.BPU.ATRR.True-up'!$F$81</f>
        <v>0.10781124580725182</v>
      </c>
      <c r="K94" s="51"/>
      <c r="L94" t="s">
        <v>96</v>
      </c>
      <c r="P94" s="4"/>
    </row>
    <row r="95" spans="1:16">
      <c r="C95" s="46" t="s">
        <v>58</v>
      </c>
      <c r="D95" s="48">
        <f>'PSO.WS.G.BPU.ATRR.True-up'!F$93</f>
        <v>42</v>
      </c>
      <c r="E95" s="46" t="s">
        <v>59</v>
      </c>
      <c r="F95" s="44"/>
      <c r="G95" s="44"/>
      <c r="J95" s="50">
        <f>IF(H87="",J94,'PSO.WS.G.BPU.ATRR.True-up'!$F$80)</f>
        <v>0.10781124580725182</v>
      </c>
      <c r="K95" s="11"/>
      <c r="L95" s="20" t="s">
        <v>60</v>
      </c>
      <c r="M95" s="11"/>
      <c r="N95" s="11"/>
      <c r="O95" s="11"/>
      <c r="P95" s="4"/>
    </row>
    <row r="96" spans="1:16" ht="13.5" thickBot="1">
      <c r="C96" s="46" t="s">
        <v>61</v>
      </c>
      <c r="D96" s="103" t="str">
        <f>+D14</f>
        <v>No</v>
      </c>
      <c r="E96" s="85" t="s">
        <v>63</v>
      </c>
      <c r="F96" s="91"/>
      <c r="G96" s="91"/>
      <c r="H96" s="92"/>
      <c r="I96" s="92"/>
      <c r="J96" s="35">
        <f>IF(D92=0,0,ROUND(D92/D95,0))</f>
        <v>0</v>
      </c>
      <c r="K96" s="20"/>
      <c r="L96" s="20"/>
      <c r="M96" s="20"/>
      <c r="N96" s="20"/>
      <c r="O96" s="20"/>
      <c r="P96" s="4"/>
    </row>
    <row r="97" spans="1:16" ht="38.25">
      <c r="A97" s="6"/>
      <c r="B97" s="6"/>
      <c r="C97" s="93" t="s">
        <v>50</v>
      </c>
      <c r="D97" s="94" t="s">
        <v>64</v>
      </c>
      <c r="E97" s="56" t="s">
        <v>65</v>
      </c>
      <c r="F97" s="56" t="s">
        <v>66</v>
      </c>
      <c r="G97" s="54" t="s">
        <v>97</v>
      </c>
      <c r="H97" s="144" t="s">
        <v>286</v>
      </c>
      <c r="I97" s="135" t="s">
        <v>287</v>
      </c>
      <c r="J97" s="93" t="s">
        <v>98</v>
      </c>
      <c r="K97" s="95"/>
      <c r="L97" s="56" t="s">
        <v>102</v>
      </c>
      <c r="M97" s="56" t="s">
        <v>99</v>
      </c>
      <c r="N97" s="56" t="s">
        <v>102</v>
      </c>
      <c r="O97" s="56" t="s">
        <v>99</v>
      </c>
      <c r="P97" s="56" t="s">
        <v>69</v>
      </c>
    </row>
    <row r="98" spans="1:16" ht="13.5" thickBot="1">
      <c r="C98" s="57" t="s">
        <v>70</v>
      </c>
      <c r="D98" s="96" t="s">
        <v>71</v>
      </c>
      <c r="E98" s="57" t="s">
        <v>72</v>
      </c>
      <c r="F98" s="57" t="s">
        <v>71</v>
      </c>
      <c r="G98" s="57" t="s">
        <v>71</v>
      </c>
      <c r="H98" s="128" t="s">
        <v>73</v>
      </c>
      <c r="I98" s="58" t="s">
        <v>74</v>
      </c>
      <c r="J98" s="59" t="s">
        <v>104</v>
      </c>
      <c r="K98" s="60"/>
      <c r="L98" s="61" t="s">
        <v>76</v>
      </c>
      <c r="M98" s="61" t="s">
        <v>76</v>
      </c>
      <c r="N98" s="61" t="s">
        <v>105</v>
      </c>
      <c r="O98" s="61" t="s">
        <v>105</v>
      </c>
      <c r="P98" s="61" t="s">
        <v>105</v>
      </c>
    </row>
    <row r="99" spans="1:16">
      <c r="C99" s="62">
        <f>IF(D93= "","-",D93)</f>
        <v>2015</v>
      </c>
      <c r="D99" s="63">
        <v>0</v>
      </c>
      <c r="E99" s="70">
        <f>IF(OR(D11=I10,D92&lt;100000),0,J$96/12*(12-D94))</f>
        <v>0</v>
      </c>
      <c r="F99" s="68">
        <f>IF(D93=C99,+D92-E99,+D99-E99)</f>
        <v>0</v>
      </c>
      <c r="G99" s="97">
        <f>+(F99+D99)/2</f>
        <v>0</v>
      </c>
      <c r="H99" s="97">
        <f>+J$94*G99+E99</f>
        <v>0</v>
      </c>
      <c r="I99" s="97">
        <f>+J$95*G99+E99</f>
        <v>0</v>
      </c>
      <c r="J99" s="67">
        <f>+I99-H99</f>
        <v>0</v>
      </c>
      <c r="K99" s="67"/>
      <c r="L99" s="131"/>
      <c r="M99" s="66">
        <f t="shared" ref="M99:M130" si="12">IF(L99&lt;&gt;0,+H99-L99,0)</f>
        <v>0</v>
      </c>
      <c r="N99" s="131"/>
      <c r="O99" s="66">
        <f t="shared" ref="O99:O130" si="13">IF(N99&lt;&gt;0,+I99-N99,0)</f>
        <v>0</v>
      </c>
      <c r="P99" s="66">
        <f t="shared" ref="P99:P130" si="14">+O99-M99</f>
        <v>0</v>
      </c>
    </row>
    <row r="100" spans="1:16">
      <c r="B100" s="9" t="str">
        <f>IF(D100=F99,"","IU")</f>
        <v/>
      </c>
      <c r="C100" s="62">
        <f>IF(D93="","-",+C99+1)</f>
        <v>2016</v>
      </c>
      <c r="D100" s="63">
        <f>IF(F99+SUM(E$99:E99)=D$92,F99,D$92-SUM(E$99:E99))</f>
        <v>0</v>
      </c>
      <c r="E100" s="69">
        <f>IF(+J$96&lt;F99,J$96,D100)</f>
        <v>0</v>
      </c>
      <c r="F100" s="68">
        <f>+D100-E100</f>
        <v>0</v>
      </c>
      <c r="G100" s="68">
        <f>+(F100+D100)/2</f>
        <v>0</v>
      </c>
      <c r="H100" s="130">
        <f t="shared" ref="H100:H154" si="15">+J$94*G100+E100</f>
        <v>0</v>
      </c>
      <c r="I100" s="139">
        <f t="shared" ref="I100:I154" si="16">+J$95*G100+E100</f>
        <v>0</v>
      </c>
      <c r="J100" s="67">
        <f t="shared" ref="J100:J130" si="17">+I100-H100</f>
        <v>0</v>
      </c>
      <c r="K100" s="67"/>
      <c r="L100" s="132"/>
      <c r="M100" s="67">
        <f t="shared" si="12"/>
        <v>0</v>
      </c>
      <c r="N100" s="132"/>
      <c r="O100" s="67">
        <f t="shared" si="13"/>
        <v>0</v>
      </c>
      <c r="P100" s="67">
        <f t="shared" si="14"/>
        <v>0</v>
      </c>
    </row>
    <row r="101" spans="1:16">
      <c r="B101" s="9" t="str">
        <f t="shared" ref="B101:B154" si="18">IF(D101=F100,"","IU")</f>
        <v/>
      </c>
      <c r="C101" s="62">
        <f>IF(D93="","-",+C100+1)</f>
        <v>2017</v>
      </c>
      <c r="D101" s="63">
        <f>IF(F100+SUM(E$99:E100)=D$92,F100,D$92-SUM(E$99:E100))</f>
        <v>0</v>
      </c>
      <c r="E101" s="69">
        <f t="shared" ref="E101:E154" si="19">IF(+J$96&lt;F100,J$96,D101)</f>
        <v>0</v>
      </c>
      <c r="F101" s="68">
        <f t="shared" ref="F101:F154" si="20">+D101-E101</f>
        <v>0</v>
      </c>
      <c r="G101" s="68">
        <f t="shared" ref="G101:G154" si="21">+(F101+D101)/2</f>
        <v>0</v>
      </c>
      <c r="H101" s="130">
        <f t="shared" si="15"/>
        <v>0</v>
      </c>
      <c r="I101" s="139">
        <f t="shared" si="16"/>
        <v>0</v>
      </c>
      <c r="J101" s="67">
        <f t="shared" si="17"/>
        <v>0</v>
      </c>
      <c r="K101" s="67"/>
      <c r="L101" s="132"/>
      <c r="M101" s="67">
        <f t="shared" si="12"/>
        <v>0</v>
      </c>
      <c r="N101" s="132"/>
      <c r="O101" s="67">
        <f t="shared" si="13"/>
        <v>0</v>
      </c>
      <c r="P101" s="67">
        <f t="shared" si="14"/>
        <v>0</v>
      </c>
    </row>
    <row r="102" spans="1:16">
      <c r="B102" s="9" t="str">
        <f t="shared" si="18"/>
        <v/>
      </c>
      <c r="C102" s="62">
        <f>IF(D93="","-",+C101+1)</f>
        <v>2018</v>
      </c>
      <c r="D102" s="63">
        <f>IF(F101+SUM(E$99:E101)=D$92,F101,D$92-SUM(E$99:E101))</f>
        <v>0</v>
      </c>
      <c r="E102" s="69">
        <f t="shared" si="19"/>
        <v>0</v>
      </c>
      <c r="F102" s="68">
        <f t="shared" si="20"/>
        <v>0</v>
      </c>
      <c r="G102" s="68">
        <f t="shared" si="21"/>
        <v>0</v>
      </c>
      <c r="H102" s="130">
        <f t="shared" si="15"/>
        <v>0</v>
      </c>
      <c r="I102" s="139">
        <f t="shared" si="16"/>
        <v>0</v>
      </c>
      <c r="J102" s="67">
        <f t="shared" si="17"/>
        <v>0</v>
      </c>
      <c r="K102" s="67"/>
      <c r="L102" s="132"/>
      <c r="M102" s="67">
        <f t="shared" si="12"/>
        <v>0</v>
      </c>
      <c r="N102" s="132"/>
      <c r="O102" s="67">
        <f t="shared" si="13"/>
        <v>0</v>
      </c>
      <c r="P102" s="67">
        <f t="shared" si="14"/>
        <v>0</v>
      </c>
    </row>
    <row r="103" spans="1:16">
      <c r="B103" s="9" t="str">
        <f t="shared" si="18"/>
        <v/>
      </c>
      <c r="C103" s="62">
        <f>IF(D93="","-",+C102+1)</f>
        <v>2019</v>
      </c>
      <c r="D103" s="63">
        <f>IF(F102+SUM(E$99:E102)=D$92,F102,D$92-SUM(E$99:E102))</f>
        <v>0</v>
      </c>
      <c r="E103" s="69">
        <f t="shared" si="19"/>
        <v>0</v>
      </c>
      <c r="F103" s="68">
        <f t="shared" si="20"/>
        <v>0</v>
      </c>
      <c r="G103" s="68">
        <f t="shared" si="21"/>
        <v>0</v>
      </c>
      <c r="H103" s="130">
        <f t="shared" si="15"/>
        <v>0</v>
      </c>
      <c r="I103" s="139">
        <f t="shared" si="16"/>
        <v>0</v>
      </c>
      <c r="J103" s="67">
        <f t="shared" si="17"/>
        <v>0</v>
      </c>
      <c r="K103" s="67"/>
      <c r="L103" s="132"/>
      <c r="M103" s="67">
        <f t="shared" si="12"/>
        <v>0</v>
      </c>
      <c r="N103" s="132"/>
      <c r="O103" s="67">
        <f t="shared" si="13"/>
        <v>0</v>
      </c>
      <c r="P103" s="67">
        <f t="shared" si="14"/>
        <v>0</v>
      </c>
    </row>
    <row r="104" spans="1:16">
      <c r="B104" s="9" t="str">
        <f t="shared" si="18"/>
        <v/>
      </c>
      <c r="C104" s="62">
        <f>IF(D93="","-",+C103+1)</f>
        <v>2020</v>
      </c>
      <c r="D104" s="63">
        <f>IF(F103+SUM(E$99:E103)=D$92,F103,D$92-SUM(E$99:E103))</f>
        <v>0</v>
      </c>
      <c r="E104" s="69">
        <f t="shared" si="19"/>
        <v>0</v>
      </c>
      <c r="F104" s="68">
        <f t="shared" si="20"/>
        <v>0</v>
      </c>
      <c r="G104" s="68">
        <f t="shared" si="21"/>
        <v>0</v>
      </c>
      <c r="H104" s="130">
        <f t="shared" si="15"/>
        <v>0</v>
      </c>
      <c r="I104" s="139">
        <f t="shared" si="16"/>
        <v>0</v>
      </c>
      <c r="J104" s="67">
        <f t="shared" si="17"/>
        <v>0</v>
      </c>
      <c r="K104" s="67"/>
      <c r="L104" s="132"/>
      <c r="M104" s="67">
        <f t="shared" si="12"/>
        <v>0</v>
      </c>
      <c r="N104" s="132"/>
      <c r="O104" s="67">
        <f t="shared" si="13"/>
        <v>0</v>
      </c>
      <c r="P104" s="67">
        <f t="shared" si="14"/>
        <v>0</v>
      </c>
    </row>
    <row r="105" spans="1:16">
      <c r="B105" s="9" t="str">
        <f t="shared" si="18"/>
        <v/>
      </c>
      <c r="C105" s="62">
        <f>IF(D93="","-",+C104+1)</f>
        <v>2021</v>
      </c>
      <c r="D105" s="63">
        <f>IF(F104+SUM(E$99:E104)=D$92,F104,D$92-SUM(E$99:E104))</f>
        <v>0</v>
      </c>
      <c r="E105" s="69">
        <f t="shared" si="19"/>
        <v>0</v>
      </c>
      <c r="F105" s="68">
        <f t="shared" si="20"/>
        <v>0</v>
      </c>
      <c r="G105" s="68">
        <f t="shared" si="21"/>
        <v>0</v>
      </c>
      <c r="H105" s="130">
        <f t="shared" si="15"/>
        <v>0</v>
      </c>
      <c r="I105" s="139">
        <f t="shared" si="16"/>
        <v>0</v>
      </c>
      <c r="J105" s="67">
        <f t="shared" si="17"/>
        <v>0</v>
      </c>
      <c r="K105" s="67"/>
      <c r="L105" s="132"/>
      <c r="M105" s="67">
        <f t="shared" si="12"/>
        <v>0</v>
      </c>
      <c r="N105" s="132"/>
      <c r="O105" s="67">
        <f t="shared" si="13"/>
        <v>0</v>
      </c>
      <c r="P105" s="67">
        <f t="shared" si="14"/>
        <v>0</v>
      </c>
    </row>
    <row r="106" spans="1:16">
      <c r="B106" s="9" t="str">
        <f t="shared" si="18"/>
        <v/>
      </c>
      <c r="C106" s="62">
        <f>IF(D93="","-",+C105+1)</f>
        <v>2022</v>
      </c>
      <c r="D106" s="63">
        <f>IF(F105+SUM(E$99:E105)=D$92,F105,D$92-SUM(E$99:E105))</f>
        <v>0</v>
      </c>
      <c r="E106" s="69">
        <f t="shared" si="19"/>
        <v>0</v>
      </c>
      <c r="F106" s="68">
        <f t="shared" si="20"/>
        <v>0</v>
      </c>
      <c r="G106" s="68">
        <f t="shared" si="21"/>
        <v>0</v>
      </c>
      <c r="H106" s="130">
        <f t="shared" si="15"/>
        <v>0</v>
      </c>
      <c r="I106" s="139">
        <f t="shared" si="16"/>
        <v>0</v>
      </c>
      <c r="J106" s="67">
        <f t="shared" si="17"/>
        <v>0</v>
      </c>
      <c r="K106" s="67"/>
      <c r="L106" s="132"/>
      <c r="M106" s="67">
        <f t="shared" si="12"/>
        <v>0</v>
      </c>
      <c r="N106" s="132"/>
      <c r="O106" s="67">
        <f t="shared" si="13"/>
        <v>0</v>
      </c>
      <c r="P106" s="67">
        <f t="shared" si="14"/>
        <v>0</v>
      </c>
    </row>
    <row r="107" spans="1:16">
      <c r="B107" s="9" t="str">
        <f t="shared" si="18"/>
        <v/>
      </c>
      <c r="C107" s="62">
        <f>IF(D93="","-",+C106+1)</f>
        <v>2023</v>
      </c>
      <c r="D107" s="63">
        <f>IF(F106+SUM(E$99:E106)=D$92,F106,D$92-SUM(E$99:E106))</f>
        <v>0</v>
      </c>
      <c r="E107" s="69">
        <f t="shared" si="19"/>
        <v>0</v>
      </c>
      <c r="F107" s="68">
        <f t="shared" si="20"/>
        <v>0</v>
      </c>
      <c r="G107" s="68">
        <f t="shared" si="21"/>
        <v>0</v>
      </c>
      <c r="H107" s="130">
        <f t="shared" si="15"/>
        <v>0</v>
      </c>
      <c r="I107" s="139">
        <f t="shared" si="16"/>
        <v>0</v>
      </c>
      <c r="J107" s="67">
        <f t="shared" si="17"/>
        <v>0</v>
      </c>
      <c r="K107" s="67"/>
      <c r="L107" s="132"/>
      <c r="M107" s="67">
        <f t="shared" si="12"/>
        <v>0</v>
      </c>
      <c r="N107" s="132"/>
      <c r="O107" s="67">
        <f t="shared" si="13"/>
        <v>0</v>
      </c>
      <c r="P107" s="67">
        <f t="shared" si="14"/>
        <v>0</v>
      </c>
    </row>
    <row r="108" spans="1:16">
      <c r="B108" s="9" t="str">
        <f t="shared" si="18"/>
        <v/>
      </c>
      <c r="C108" s="62">
        <f>IF(D93="","-",+C107+1)</f>
        <v>2024</v>
      </c>
      <c r="D108" s="63">
        <f>IF(F107+SUM(E$99:E107)=D$92,F107,D$92-SUM(E$99:E107))</f>
        <v>0</v>
      </c>
      <c r="E108" s="69">
        <f t="shared" si="19"/>
        <v>0</v>
      </c>
      <c r="F108" s="68">
        <f t="shared" si="20"/>
        <v>0</v>
      </c>
      <c r="G108" s="68">
        <f t="shared" si="21"/>
        <v>0</v>
      </c>
      <c r="H108" s="130">
        <f t="shared" si="15"/>
        <v>0</v>
      </c>
      <c r="I108" s="139">
        <f t="shared" si="16"/>
        <v>0</v>
      </c>
      <c r="J108" s="67">
        <f t="shared" si="17"/>
        <v>0</v>
      </c>
      <c r="K108" s="67"/>
      <c r="L108" s="132"/>
      <c r="M108" s="67">
        <f t="shared" si="12"/>
        <v>0</v>
      </c>
      <c r="N108" s="132"/>
      <c r="O108" s="67">
        <f t="shared" si="13"/>
        <v>0</v>
      </c>
      <c r="P108" s="67">
        <f t="shared" si="14"/>
        <v>0</v>
      </c>
    </row>
    <row r="109" spans="1:16">
      <c r="B109" s="9" t="str">
        <f t="shared" si="18"/>
        <v/>
      </c>
      <c r="C109" s="62">
        <f>IF(D93="","-",+C108+1)</f>
        <v>2025</v>
      </c>
      <c r="D109" s="63">
        <f>IF(F108+SUM(E$99:E108)=D$92,F108,D$92-SUM(E$99:E108))</f>
        <v>0</v>
      </c>
      <c r="E109" s="69">
        <f t="shared" si="19"/>
        <v>0</v>
      </c>
      <c r="F109" s="68">
        <f t="shared" si="20"/>
        <v>0</v>
      </c>
      <c r="G109" s="68">
        <f t="shared" si="21"/>
        <v>0</v>
      </c>
      <c r="H109" s="130">
        <f t="shared" si="15"/>
        <v>0</v>
      </c>
      <c r="I109" s="139">
        <f t="shared" si="16"/>
        <v>0</v>
      </c>
      <c r="J109" s="67">
        <f t="shared" si="17"/>
        <v>0</v>
      </c>
      <c r="K109" s="67"/>
      <c r="L109" s="132"/>
      <c r="M109" s="67">
        <f t="shared" si="12"/>
        <v>0</v>
      </c>
      <c r="N109" s="132"/>
      <c r="O109" s="67">
        <f t="shared" si="13"/>
        <v>0</v>
      </c>
      <c r="P109" s="67">
        <f t="shared" si="14"/>
        <v>0</v>
      </c>
    </row>
    <row r="110" spans="1:16">
      <c r="B110" s="9" t="str">
        <f t="shared" si="18"/>
        <v/>
      </c>
      <c r="C110" s="62">
        <f>IF(D93="","-",+C109+1)</f>
        <v>2026</v>
      </c>
      <c r="D110" s="63">
        <f>IF(F109+SUM(E$99:E109)=D$92,F109,D$92-SUM(E$99:E109))</f>
        <v>0</v>
      </c>
      <c r="E110" s="69">
        <f t="shared" si="19"/>
        <v>0</v>
      </c>
      <c r="F110" s="68">
        <f t="shared" si="20"/>
        <v>0</v>
      </c>
      <c r="G110" s="68">
        <f t="shared" si="21"/>
        <v>0</v>
      </c>
      <c r="H110" s="130">
        <f t="shared" si="15"/>
        <v>0</v>
      </c>
      <c r="I110" s="139">
        <f t="shared" si="16"/>
        <v>0</v>
      </c>
      <c r="J110" s="67">
        <f t="shared" si="17"/>
        <v>0</v>
      </c>
      <c r="K110" s="67"/>
      <c r="L110" s="132"/>
      <c r="M110" s="67">
        <f t="shared" si="12"/>
        <v>0</v>
      </c>
      <c r="N110" s="132"/>
      <c r="O110" s="67">
        <f t="shared" si="13"/>
        <v>0</v>
      </c>
      <c r="P110" s="67">
        <f t="shared" si="14"/>
        <v>0</v>
      </c>
    </row>
    <row r="111" spans="1:16">
      <c r="B111" s="9" t="str">
        <f t="shared" si="18"/>
        <v/>
      </c>
      <c r="C111" s="62">
        <f>IF(D93="","-",+C110+1)</f>
        <v>2027</v>
      </c>
      <c r="D111" s="63">
        <f>IF(F110+SUM(E$99:E110)=D$92,F110,D$92-SUM(E$99:E110))</f>
        <v>0</v>
      </c>
      <c r="E111" s="69">
        <f t="shared" si="19"/>
        <v>0</v>
      </c>
      <c r="F111" s="68">
        <f t="shared" si="20"/>
        <v>0</v>
      </c>
      <c r="G111" s="68">
        <f t="shared" si="21"/>
        <v>0</v>
      </c>
      <c r="H111" s="130">
        <f t="shared" si="15"/>
        <v>0</v>
      </c>
      <c r="I111" s="139">
        <f t="shared" si="16"/>
        <v>0</v>
      </c>
      <c r="J111" s="67">
        <f t="shared" si="17"/>
        <v>0</v>
      </c>
      <c r="K111" s="67"/>
      <c r="L111" s="132"/>
      <c r="M111" s="67">
        <f t="shared" si="12"/>
        <v>0</v>
      </c>
      <c r="N111" s="132"/>
      <c r="O111" s="67">
        <f t="shared" si="13"/>
        <v>0</v>
      </c>
      <c r="P111" s="67">
        <f t="shared" si="14"/>
        <v>0</v>
      </c>
    </row>
    <row r="112" spans="1:16">
      <c r="B112" s="9" t="str">
        <f t="shared" si="18"/>
        <v/>
      </c>
      <c r="C112" s="62">
        <f>IF(D93="","-",+C111+1)</f>
        <v>2028</v>
      </c>
      <c r="D112" s="63">
        <f>IF(F111+SUM(E$99:E111)=D$92,F111,D$92-SUM(E$99:E111))</f>
        <v>0</v>
      </c>
      <c r="E112" s="69">
        <f t="shared" si="19"/>
        <v>0</v>
      </c>
      <c r="F112" s="68">
        <f t="shared" si="20"/>
        <v>0</v>
      </c>
      <c r="G112" s="68">
        <f t="shared" si="21"/>
        <v>0</v>
      </c>
      <c r="H112" s="130">
        <f t="shared" si="15"/>
        <v>0</v>
      </c>
      <c r="I112" s="139">
        <f t="shared" si="16"/>
        <v>0</v>
      </c>
      <c r="J112" s="67">
        <f t="shared" si="17"/>
        <v>0</v>
      </c>
      <c r="K112" s="67"/>
      <c r="L112" s="132"/>
      <c r="M112" s="67">
        <f t="shared" si="12"/>
        <v>0</v>
      </c>
      <c r="N112" s="132"/>
      <c r="O112" s="67">
        <f t="shared" si="13"/>
        <v>0</v>
      </c>
      <c r="P112" s="67">
        <f t="shared" si="14"/>
        <v>0</v>
      </c>
    </row>
    <row r="113" spans="2:16">
      <c r="B113" s="9" t="str">
        <f t="shared" si="18"/>
        <v/>
      </c>
      <c r="C113" s="62">
        <f>IF(D93="","-",+C112+1)</f>
        <v>2029</v>
      </c>
      <c r="D113" s="63">
        <f>IF(F112+SUM(E$99:E112)=D$92,F112,D$92-SUM(E$99:E112))</f>
        <v>0</v>
      </c>
      <c r="E113" s="69">
        <f t="shared" si="19"/>
        <v>0</v>
      </c>
      <c r="F113" s="68">
        <f t="shared" si="20"/>
        <v>0</v>
      </c>
      <c r="G113" s="68">
        <f t="shared" si="21"/>
        <v>0</v>
      </c>
      <c r="H113" s="130">
        <f t="shared" si="15"/>
        <v>0</v>
      </c>
      <c r="I113" s="139">
        <f t="shared" si="16"/>
        <v>0</v>
      </c>
      <c r="J113" s="67">
        <f t="shared" si="17"/>
        <v>0</v>
      </c>
      <c r="K113" s="67"/>
      <c r="L113" s="132"/>
      <c r="M113" s="67">
        <f t="shared" si="12"/>
        <v>0</v>
      </c>
      <c r="N113" s="132"/>
      <c r="O113" s="67">
        <f t="shared" si="13"/>
        <v>0</v>
      </c>
      <c r="P113" s="67">
        <f t="shared" si="14"/>
        <v>0</v>
      </c>
    </row>
    <row r="114" spans="2:16">
      <c r="B114" s="9" t="str">
        <f t="shared" si="18"/>
        <v/>
      </c>
      <c r="C114" s="62">
        <f>IF(D93="","-",+C113+1)</f>
        <v>2030</v>
      </c>
      <c r="D114" s="63">
        <f>IF(F113+SUM(E$99:E113)=D$92,F113,D$92-SUM(E$99:E113))</f>
        <v>0</v>
      </c>
      <c r="E114" s="69">
        <f t="shared" si="19"/>
        <v>0</v>
      </c>
      <c r="F114" s="68">
        <f t="shared" si="20"/>
        <v>0</v>
      </c>
      <c r="G114" s="68">
        <f t="shared" si="21"/>
        <v>0</v>
      </c>
      <c r="H114" s="130">
        <f t="shared" si="15"/>
        <v>0</v>
      </c>
      <c r="I114" s="139">
        <f t="shared" si="16"/>
        <v>0</v>
      </c>
      <c r="J114" s="67">
        <f t="shared" si="17"/>
        <v>0</v>
      </c>
      <c r="K114" s="67"/>
      <c r="L114" s="132"/>
      <c r="M114" s="67">
        <f t="shared" si="12"/>
        <v>0</v>
      </c>
      <c r="N114" s="132"/>
      <c r="O114" s="67">
        <f t="shared" si="13"/>
        <v>0</v>
      </c>
      <c r="P114" s="67">
        <f t="shared" si="14"/>
        <v>0</v>
      </c>
    </row>
    <row r="115" spans="2:16">
      <c r="B115" s="9" t="str">
        <f t="shared" si="18"/>
        <v/>
      </c>
      <c r="C115" s="62">
        <f>IF(D93="","-",+C114+1)</f>
        <v>2031</v>
      </c>
      <c r="D115" s="63">
        <f>IF(F114+SUM(E$99:E114)=D$92,F114,D$92-SUM(E$99:E114))</f>
        <v>0</v>
      </c>
      <c r="E115" s="69">
        <f t="shared" si="19"/>
        <v>0</v>
      </c>
      <c r="F115" s="68">
        <f t="shared" si="20"/>
        <v>0</v>
      </c>
      <c r="G115" s="68">
        <f t="shared" si="21"/>
        <v>0</v>
      </c>
      <c r="H115" s="130">
        <f t="shared" si="15"/>
        <v>0</v>
      </c>
      <c r="I115" s="139">
        <f t="shared" si="16"/>
        <v>0</v>
      </c>
      <c r="J115" s="67">
        <f t="shared" si="17"/>
        <v>0</v>
      </c>
      <c r="K115" s="67"/>
      <c r="L115" s="132"/>
      <c r="M115" s="67">
        <f t="shared" si="12"/>
        <v>0</v>
      </c>
      <c r="N115" s="132"/>
      <c r="O115" s="67">
        <f t="shared" si="13"/>
        <v>0</v>
      </c>
      <c r="P115" s="67">
        <f t="shared" si="14"/>
        <v>0</v>
      </c>
    </row>
    <row r="116" spans="2:16">
      <c r="B116" s="9" t="str">
        <f t="shared" si="18"/>
        <v/>
      </c>
      <c r="C116" s="62">
        <f>IF(D93="","-",+C115+1)</f>
        <v>2032</v>
      </c>
      <c r="D116" s="63">
        <f>IF(F115+SUM(E$99:E115)=D$92,F115,D$92-SUM(E$99:E115))</f>
        <v>0</v>
      </c>
      <c r="E116" s="69">
        <f t="shared" si="19"/>
        <v>0</v>
      </c>
      <c r="F116" s="68">
        <f t="shared" si="20"/>
        <v>0</v>
      </c>
      <c r="G116" s="68">
        <f t="shared" si="21"/>
        <v>0</v>
      </c>
      <c r="H116" s="130">
        <f t="shared" si="15"/>
        <v>0</v>
      </c>
      <c r="I116" s="139">
        <f t="shared" si="16"/>
        <v>0</v>
      </c>
      <c r="J116" s="67">
        <f t="shared" si="17"/>
        <v>0</v>
      </c>
      <c r="K116" s="67"/>
      <c r="L116" s="132"/>
      <c r="M116" s="67">
        <f t="shared" si="12"/>
        <v>0</v>
      </c>
      <c r="N116" s="132"/>
      <c r="O116" s="67">
        <f t="shared" si="13"/>
        <v>0</v>
      </c>
      <c r="P116" s="67">
        <f t="shared" si="14"/>
        <v>0</v>
      </c>
    </row>
    <row r="117" spans="2:16">
      <c r="B117" s="9" t="str">
        <f t="shared" si="18"/>
        <v/>
      </c>
      <c r="C117" s="62">
        <f>IF(D93="","-",+C116+1)</f>
        <v>2033</v>
      </c>
      <c r="D117" s="63">
        <f>IF(F116+SUM(E$99:E116)=D$92,F116,D$92-SUM(E$99:E116))</f>
        <v>0</v>
      </c>
      <c r="E117" s="69">
        <f t="shared" si="19"/>
        <v>0</v>
      </c>
      <c r="F117" s="68">
        <f t="shared" si="20"/>
        <v>0</v>
      </c>
      <c r="G117" s="68">
        <f t="shared" si="21"/>
        <v>0</v>
      </c>
      <c r="H117" s="130">
        <f t="shared" si="15"/>
        <v>0</v>
      </c>
      <c r="I117" s="139">
        <f t="shared" si="16"/>
        <v>0</v>
      </c>
      <c r="J117" s="67">
        <f t="shared" si="17"/>
        <v>0</v>
      </c>
      <c r="K117" s="67"/>
      <c r="L117" s="132"/>
      <c r="M117" s="67">
        <f t="shared" si="12"/>
        <v>0</v>
      </c>
      <c r="N117" s="132"/>
      <c r="O117" s="67">
        <f t="shared" si="13"/>
        <v>0</v>
      </c>
      <c r="P117" s="67">
        <f t="shared" si="14"/>
        <v>0</v>
      </c>
    </row>
    <row r="118" spans="2:16">
      <c r="B118" s="9" t="str">
        <f t="shared" si="18"/>
        <v/>
      </c>
      <c r="C118" s="62">
        <f>IF(D93="","-",+C117+1)</f>
        <v>2034</v>
      </c>
      <c r="D118" s="63">
        <f>IF(F117+SUM(E$99:E117)=D$92,F117,D$92-SUM(E$99:E117))</f>
        <v>0</v>
      </c>
      <c r="E118" s="69">
        <f t="shared" si="19"/>
        <v>0</v>
      </c>
      <c r="F118" s="68">
        <f t="shared" si="20"/>
        <v>0</v>
      </c>
      <c r="G118" s="68">
        <f t="shared" si="21"/>
        <v>0</v>
      </c>
      <c r="H118" s="130">
        <f t="shared" si="15"/>
        <v>0</v>
      </c>
      <c r="I118" s="139">
        <f t="shared" si="16"/>
        <v>0</v>
      </c>
      <c r="J118" s="67">
        <f t="shared" si="17"/>
        <v>0</v>
      </c>
      <c r="K118" s="67"/>
      <c r="L118" s="132"/>
      <c r="M118" s="67">
        <f t="shared" si="12"/>
        <v>0</v>
      </c>
      <c r="N118" s="132"/>
      <c r="O118" s="67">
        <f t="shared" si="13"/>
        <v>0</v>
      </c>
      <c r="P118" s="67">
        <f t="shared" si="14"/>
        <v>0</v>
      </c>
    </row>
    <row r="119" spans="2:16">
      <c r="B119" s="9" t="str">
        <f t="shared" si="18"/>
        <v/>
      </c>
      <c r="C119" s="62">
        <f>IF(D93="","-",+C118+1)</f>
        <v>2035</v>
      </c>
      <c r="D119" s="63">
        <f>IF(F118+SUM(E$99:E118)=D$92,F118,D$92-SUM(E$99:E118))</f>
        <v>0</v>
      </c>
      <c r="E119" s="69">
        <f t="shared" si="19"/>
        <v>0</v>
      </c>
      <c r="F119" s="68">
        <f t="shared" si="20"/>
        <v>0</v>
      </c>
      <c r="G119" s="68">
        <f t="shared" si="21"/>
        <v>0</v>
      </c>
      <c r="H119" s="130">
        <f t="shared" si="15"/>
        <v>0</v>
      </c>
      <c r="I119" s="139">
        <f t="shared" si="16"/>
        <v>0</v>
      </c>
      <c r="J119" s="67">
        <f t="shared" si="17"/>
        <v>0</v>
      </c>
      <c r="K119" s="67"/>
      <c r="L119" s="132"/>
      <c r="M119" s="67">
        <f t="shared" si="12"/>
        <v>0</v>
      </c>
      <c r="N119" s="132"/>
      <c r="O119" s="67">
        <f t="shared" si="13"/>
        <v>0</v>
      </c>
      <c r="P119" s="67">
        <f t="shared" si="14"/>
        <v>0</v>
      </c>
    </row>
    <row r="120" spans="2:16">
      <c r="B120" s="9" t="str">
        <f t="shared" si="18"/>
        <v/>
      </c>
      <c r="C120" s="62">
        <f>IF(D93="","-",+C119+1)</f>
        <v>2036</v>
      </c>
      <c r="D120" s="63">
        <f>IF(F119+SUM(E$99:E119)=D$92,F119,D$92-SUM(E$99:E119))</f>
        <v>0</v>
      </c>
      <c r="E120" s="69">
        <f t="shared" si="19"/>
        <v>0</v>
      </c>
      <c r="F120" s="68">
        <f t="shared" si="20"/>
        <v>0</v>
      </c>
      <c r="G120" s="68">
        <f t="shared" si="21"/>
        <v>0</v>
      </c>
      <c r="H120" s="130">
        <f t="shared" si="15"/>
        <v>0</v>
      </c>
      <c r="I120" s="139">
        <f t="shared" si="16"/>
        <v>0</v>
      </c>
      <c r="J120" s="67">
        <f t="shared" si="17"/>
        <v>0</v>
      </c>
      <c r="K120" s="67"/>
      <c r="L120" s="132"/>
      <c r="M120" s="67">
        <f t="shared" si="12"/>
        <v>0</v>
      </c>
      <c r="N120" s="132"/>
      <c r="O120" s="67">
        <f t="shared" si="13"/>
        <v>0</v>
      </c>
      <c r="P120" s="67">
        <f t="shared" si="14"/>
        <v>0</v>
      </c>
    </row>
    <row r="121" spans="2:16">
      <c r="B121" s="9" t="str">
        <f t="shared" si="18"/>
        <v/>
      </c>
      <c r="C121" s="62">
        <f>IF(D93="","-",+C120+1)</f>
        <v>2037</v>
      </c>
      <c r="D121" s="63">
        <f>IF(F120+SUM(E$99:E120)=D$92,F120,D$92-SUM(E$99:E120))</f>
        <v>0</v>
      </c>
      <c r="E121" s="69">
        <f t="shared" si="19"/>
        <v>0</v>
      </c>
      <c r="F121" s="68">
        <f t="shared" si="20"/>
        <v>0</v>
      </c>
      <c r="G121" s="68">
        <f t="shared" si="21"/>
        <v>0</v>
      </c>
      <c r="H121" s="130">
        <f t="shared" si="15"/>
        <v>0</v>
      </c>
      <c r="I121" s="139">
        <f t="shared" si="16"/>
        <v>0</v>
      </c>
      <c r="J121" s="67">
        <f t="shared" si="17"/>
        <v>0</v>
      </c>
      <c r="K121" s="67"/>
      <c r="L121" s="132"/>
      <c r="M121" s="67">
        <f t="shared" si="12"/>
        <v>0</v>
      </c>
      <c r="N121" s="132"/>
      <c r="O121" s="67">
        <f t="shared" si="13"/>
        <v>0</v>
      </c>
      <c r="P121" s="67">
        <f t="shared" si="14"/>
        <v>0</v>
      </c>
    </row>
    <row r="122" spans="2:16">
      <c r="B122" s="9" t="str">
        <f t="shared" si="18"/>
        <v/>
      </c>
      <c r="C122" s="62">
        <f>IF(D93="","-",+C121+1)</f>
        <v>2038</v>
      </c>
      <c r="D122" s="63">
        <f>IF(F121+SUM(E$99:E121)=D$92,F121,D$92-SUM(E$99:E121))</f>
        <v>0</v>
      </c>
      <c r="E122" s="69">
        <f t="shared" si="19"/>
        <v>0</v>
      </c>
      <c r="F122" s="68">
        <f t="shared" si="20"/>
        <v>0</v>
      </c>
      <c r="G122" s="68">
        <f t="shared" si="21"/>
        <v>0</v>
      </c>
      <c r="H122" s="130">
        <f t="shared" si="15"/>
        <v>0</v>
      </c>
      <c r="I122" s="139">
        <f t="shared" si="16"/>
        <v>0</v>
      </c>
      <c r="J122" s="67">
        <f t="shared" si="17"/>
        <v>0</v>
      </c>
      <c r="K122" s="67"/>
      <c r="L122" s="132"/>
      <c r="M122" s="67">
        <f t="shared" si="12"/>
        <v>0</v>
      </c>
      <c r="N122" s="132"/>
      <c r="O122" s="67">
        <f t="shared" si="13"/>
        <v>0</v>
      </c>
      <c r="P122" s="67">
        <f t="shared" si="14"/>
        <v>0</v>
      </c>
    </row>
    <row r="123" spans="2:16">
      <c r="B123" s="9" t="str">
        <f t="shared" si="18"/>
        <v/>
      </c>
      <c r="C123" s="62">
        <f>IF(D93="","-",+C122+1)</f>
        <v>2039</v>
      </c>
      <c r="D123" s="63">
        <f>IF(F122+SUM(E$99:E122)=D$92,F122,D$92-SUM(E$99:E122))</f>
        <v>0</v>
      </c>
      <c r="E123" s="69">
        <f t="shared" si="19"/>
        <v>0</v>
      </c>
      <c r="F123" s="68">
        <f t="shared" si="20"/>
        <v>0</v>
      </c>
      <c r="G123" s="68">
        <f t="shared" si="21"/>
        <v>0</v>
      </c>
      <c r="H123" s="130">
        <f t="shared" si="15"/>
        <v>0</v>
      </c>
      <c r="I123" s="139">
        <f t="shared" si="16"/>
        <v>0</v>
      </c>
      <c r="J123" s="67">
        <f t="shared" si="17"/>
        <v>0</v>
      </c>
      <c r="K123" s="67"/>
      <c r="L123" s="132"/>
      <c r="M123" s="67">
        <f t="shared" si="12"/>
        <v>0</v>
      </c>
      <c r="N123" s="132"/>
      <c r="O123" s="67">
        <f t="shared" si="13"/>
        <v>0</v>
      </c>
      <c r="P123" s="67">
        <f t="shared" si="14"/>
        <v>0</v>
      </c>
    </row>
    <row r="124" spans="2:16">
      <c r="B124" s="9" t="str">
        <f t="shared" si="18"/>
        <v/>
      </c>
      <c r="C124" s="62">
        <f>IF(D93="","-",+C123+1)</f>
        <v>2040</v>
      </c>
      <c r="D124" s="63">
        <f>IF(F123+SUM(E$99:E123)=D$92,F123,D$92-SUM(E$99:E123))</f>
        <v>0</v>
      </c>
      <c r="E124" s="69">
        <f t="shared" si="19"/>
        <v>0</v>
      </c>
      <c r="F124" s="68">
        <f t="shared" si="20"/>
        <v>0</v>
      </c>
      <c r="G124" s="68">
        <f t="shared" si="21"/>
        <v>0</v>
      </c>
      <c r="H124" s="130">
        <f t="shared" si="15"/>
        <v>0</v>
      </c>
      <c r="I124" s="139">
        <f t="shared" si="16"/>
        <v>0</v>
      </c>
      <c r="J124" s="67">
        <f t="shared" si="17"/>
        <v>0</v>
      </c>
      <c r="K124" s="67"/>
      <c r="L124" s="132"/>
      <c r="M124" s="67">
        <f t="shared" si="12"/>
        <v>0</v>
      </c>
      <c r="N124" s="132"/>
      <c r="O124" s="67">
        <f t="shared" si="13"/>
        <v>0</v>
      </c>
      <c r="P124" s="67">
        <f t="shared" si="14"/>
        <v>0</v>
      </c>
    </row>
    <row r="125" spans="2:16">
      <c r="B125" s="9" t="str">
        <f t="shared" si="18"/>
        <v/>
      </c>
      <c r="C125" s="62">
        <f>IF(D93="","-",+C124+1)</f>
        <v>2041</v>
      </c>
      <c r="D125" s="63">
        <f>IF(F124+SUM(E$99:E124)=D$92,F124,D$92-SUM(E$99:E124))</f>
        <v>0</v>
      </c>
      <c r="E125" s="69">
        <f t="shared" si="19"/>
        <v>0</v>
      </c>
      <c r="F125" s="68">
        <f t="shared" si="20"/>
        <v>0</v>
      </c>
      <c r="G125" s="68">
        <f t="shared" si="21"/>
        <v>0</v>
      </c>
      <c r="H125" s="130">
        <f t="shared" si="15"/>
        <v>0</v>
      </c>
      <c r="I125" s="139">
        <f t="shared" si="16"/>
        <v>0</v>
      </c>
      <c r="J125" s="67">
        <f t="shared" si="17"/>
        <v>0</v>
      </c>
      <c r="K125" s="67"/>
      <c r="L125" s="132"/>
      <c r="M125" s="67">
        <f t="shared" si="12"/>
        <v>0</v>
      </c>
      <c r="N125" s="132"/>
      <c r="O125" s="67">
        <f t="shared" si="13"/>
        <v>0</v>
      </c>
      <c r="P125" s="67">
        <f t="shared" si="14"/>
        <v>0</v>
      </c>
    </row>
    <row r="126" spans="2:16">
      <c r="B126" s="9" t="str">
        <f t="shared" si="18"/>
        <v/>
      </c>
      <c r="C126" s="62">
        <f>IF(D93="","-",+C125+1)</f>
        <v>2042</v>
      </c>
      <c r="D126" s="63">
        <f>IF(F125+SUM(E$99:E125)=D$92,F125,D$92-SUM(E$99:E125))</f>
        <v>0</v>
      </c>
      <c r="E126" s="69">
        <f t="shared" si="19"/>
        <v>0</v>
      </c>
      <c r="F126" s="68">
        <f t="shared" si="20"/>
        <v>0</v>
      </c>
      <c r="G126" s="68">
        <f t="shared" si="21"/>
        <v>0</v>
      </c>
      <c r="H126" s="130">
        <f t="shared" si="15"/>
        <v>0</v>
      </c>
      <c r="I126" s="139">
        <f t="shared" si="16"/>
        <v>0</v>
      </c>
      <c r="J126" s="67">
        <f t="shared" si="17"/>
        <v>0</v>
      </c>
      <c r="K126" s="67"/>
      <c r="L126" s="132"/>
      <c r="M126" s="67">
        <f t="shared" si="12"/>
        <v>0</v>
      </c>
      <c r="N126" s="132"/>
      <c r="O126" s="67">
        <f t="shared" si="13"/>
        <v>0</v>
      </c>
      <c r="P126" s="67">
        <f t="shared" si="14"/>
        <v>0</v>
      </c>
    </row>
    <row r="127" spans="2:16">
      <c r="B127" s="9" t="str">
        <f t="shared" si="18"/>
        <v/>
      </c>
      <c r="C127" s="62">
        <f>IF(D93="","-",+C126+1)</f>
        <v>2043</v>
      </c>
      <c r="D127" s="63">
        <f>IF(F126+SUM(E$99:E126)=D$92,F126,D$92-SUM(E$99:E126))</f>
        <v>0</v>
      </c>
      <c r="E127" s="69">
        <f t="shared" si="19"/>
        <v>0</v>
      </c>
      <c r="F127" s="68">
        <f t="shared" si="20"/>
        <v>0</v>
      </c>
      <c r="G127" s="68">
        <f t="shared" si="21"/>
        <v>0</v>
      </c>
      <c r="H127" s="130">
        <f t="shared" si="15"/>
        <v>0</v>
      </c>
      <c r="I127" s="139">
        <f t="shared" si="16"/>
        <v>0</v>
      </c>
      <c r="J127" s="67">
        <f t="shared" si="17"/>
        <v>0</v>
      </c>
      <c r="K127" s="67"/>
      <c r="L127" s="132"/>
      <c r="M127" s="67">
        <f t="shared" si="12"/>
        <v>0</v>
      </c>
      <c r="N127" s="132"/>
      <c r="O127" s="67">
        <f t="shared" si="13"/>
        <v>0</v>
      </c>
      <c r="P127" s="67">
        <f t="shared" si="14"/>
        <v>0</v>
      </c>
    </row>
    <row r="128" spans="2:16">
      <c r="B128" s="9" t="str">
        <f t="shared" si="18"/>
        <v/>
      </c>
      <c r="C128" s="62">
        <f>IF(D93="","-",+C127+1)</f>
        <v>2044</v>
      </c>
      <c r="D128" s="63">
        <f>IF(F127+SUM(E$99:E127)=D$92,F127,D$92-SUM(E$99:E127))</f>
        <v>0</v>
      </c>
      <c r="E128" s="69">
        <f t="shared" si="19"/>
        <v>0</v>
      </c>
      <c r="F128" s="68">
        <f t="shared" si="20"/>
        <v>0</v>
      </c>
      <c r="G128" s="68">
        <f t="shared" si="21"/>
        <v>0</v>
      </c>
      <c r="H128" s="130">
        <f t="shared" si="15"/>
        <v>0</v>
      </c>
      <c r="I128" s="139">
        <f t="shared" si="16"/>
        <v>0</v>
      </c>
      <c r="J128" s="67">
        <f t="shared" si="17"/>
        <v>0</v>
      </c>
      <c r="K128" s="67"/>
      <c r="L128" s="132"/>
      <c r="M128" s="67">
        <f t="shared" si="12"/>
        <v>0</v>
      </c>
      <c r="N128" s="132"/>
      <c r="O128" s="67">
        <f t="shared" si="13"/>
        <v>0</v>
      </c>
      <c r="P128" s="67">
        <f t="shared" si="14"/>
        <v>0</v>
      </c>
    </row>
    <row r="129" spans="2:16">
      <c r="B129" s="9" t="str">
        <f t="shared" si="18"/>
        <v/>
      </c>
      <c r="C129" s="62">
        <f>IF(D93="","-",+C128+1)</f>
        <v>2045</v>
      </c>
      <c r="D129" s="63">
        <f>IF(F128+SUM(E$99:E128)=D$92,F128,D$92-SUM(E$99:E128))</f>
        <v>0</v>
      </c>
      <c r="E129" s="69">
        <f t="shared" si="19"/>
        <v>0</v>
      </c>
      <c r="F129" s="68">
        <f t="shared" si="20"/>
        <v>0</v>
      </c>
      <c r="G129" s="68">
        <f t="shared" si="21"/>
        <v>0</v>
      </c>
      <c r="H129" s="130">
        <f t="shared" si="15"/>
        <v>0</v>
      </c>
      <c r="I129" s="139">
        <f t="shared" si="16"/>
        <v>0</v>
      </c>
      <c r="J129" s="67">
        <f t="shared" si="17"/>
        <v>0</v>
      </c>
      <c r="K129" s="67"/>
      <c r="L129" s="132"/>
      <c r="M129" s="67">
        <f t="shared" si="12"/>
        <v>0</v>
      </c>
      <c r="N129" s="132"/>
      <c r="O129" s="67">
        <f t="shared" si="13"/>
        <v>0</v>
      </c>
      <c r="P129" s="67">
        <f t="shared" si="14"/>
        <v>0</v>
      </c>
    </row>
    <row r="130" spans="2:16">
      <c r="B130" s="9" t="str">
        <f t="shared" si="18"/>
        <v/>
      </c>
      <c r="C130" s="62">
        <f>IF(D93="","-",+C129+1)</f>
        <v>2046</v>
      </c>
      <c r="D130" s="63">
        <f>IF(F129+SUM(E$99:E129)=D$92,F129,D$92-SUM(E$99:E129))</f>
        <v>0</v>
      </c>
      <c r="E130" s="69">
        <f t="shared" si="19"/>
        <v>0</v>
      </c>
      <c r="F130" s="68">
        <f t="shared" si="20"/>
        <v>0</v>
      </c>
      <c r="G130" s="68">
        <f t="shared" si="21"/>
        <v>0</v>
      </c>
      <c r="H130" s="130">
        <f t="shared" si="15"/>
        <v>0</v>
      </c>
      <c r="I130" s="139">
        <f t="shared" si="16"/>
        <v>0</v>
      </c>
      <c r="J130" s="67">
        <f t="shared" si="17"/>
        <v>0</v>
      </c>
      <c r="K130" s="67"/>
      <c r="L130" s="132"/>
      <c r="M130" s="67">
        <f t="shared" si="12"/>
        <v>0</v>
      </c>
      <c r="N130" s="132"/>
      <c r="O130" s="67">
        <f t="shared" si="13"/>
        <v>0</v>
      </c>
      <c r="P130" s="67">
        <f t="shared" si="14"/>
        <v>0</v>
      </c>
    </row>
    <row r="131" spans="2:16">
      <c r="B131" s="9" t="str">
        <f t="shared" si="18"/>
        <v/>
      </c>
      <c r="C131" s="62">
        <f>IF(D93="","-",+C130+1)</f>
        <v>2047</v>
      </c>
      <c r="D131" s="63">
        <f>IF(F130+SUM(E$99:E130)=D$92,F130,D$92-SUM(E$99:E130))</f>
        <v>0</v>
      </c>
      <c r="E131" s="69">
        <f t="shared" si="19"/>
        <v>0</v>
      </c>
      <c r="F131" s="68">
        <f t="shared" si="20"/>
        <v>0</v>
      </c>
      <c r="G131" s="68">
        <f t="shared" si="21"/>
        <v>0</v>
      </c>
      <c r="H131" s="130">
        <f t="shared" si="15"/>
        <v>0</v>
      </c>
      <c r="I131" s="139">
        <f t="shared" si="16"/>
        <v>0</v>
      </c>
      <c r="J131" s="67">
        <f t="shared" ref="J131:J154" si="22">+I541-H541</f>
        <v>0</v>
      </c>
      <c r="K131" s="67"/>
      <c r="L131" s="132"/>
      <c r="M131" s="67">
        <f t="shared" ref="M131:M154" si="23">IF(L541&lt;&gt;0,+H541-L541,0)</f>
        <v>0</v>
      </c>
      <c r="N131" s="132"/>
      <c r="O131" s="67">
        <f t="shared" ref="O131:O154" si="24">IF(N541&lt;&gt;0,+I541-N541,0)</f>
        <v>0</v>
      </c>
      <c r="P131" s="67">
        <f t="shared" ref="P131:P154" si="25">+O541-M541</f>
        <v>0</v>
      </c>
    </row>
    <row r="132" spans="2:16">
      <c r="B132" s="9" t="str">
        <f t="shared" si="18"/>
        <v/>
      </c>
      <c r="C132" s="62">
        <f>IF(D93="","-",+C131+1)</f>
        <v>2048</v>
      </c>
      <c r="D132" s="63">
        <f>IF(F131+SUM(E$99:E131)=D$92,F131,D$92-SUM(E$99:E131))</f>
        <v>0</v>
      </c>
      <c r="E132" s="69">
        <f t="shared" si="19"/>
        <v>0</v>
      </c>
      <c r="F132" s="68">
        <f t="shared" si="20"/>
        <v>0</v>
      </c>
      <c r="G132" s="68">
        <f t="shared" si="21"/>
        <v>0</v>
      </c>
      <c r="H132" s="130">
        <f t="shared" si="15"/>
        <v>0</v>
      </c>
      <c r="I132" s="139">
        <f t="shared" si="16"/>
        <v>0</v>
      </c>
      <c r="J132" s="67">
        <f t="shared" si="22"/>
        <v>0</v>
      </c>
      <c r="K132" s="67"/>
      <c r="L132" s="132"/>
      <c r="M132" s="67">
        <f t="shared" si="23"/>
        <v>0</v>
      </c>
      <c r="N132" s="132"/>
      <c r="O132" s="67">
        <f t="shared" si="24"/>
        <v>0</v>
      </c>
      <c r="P132" s="67">
        <f t="shared" si="25"/>
        <v>0</v>
      </c>
    </row>
    <row r="133" spans="2:16">
      <c r="B133" s="9" t="str">
        <f t="shared" si="18"/>
        <v/>
      </c>
      <c r="C133" s="62">
        <f>IF(D93="","-",+C132+1)</f>
        <v>2049</v>
      </c>
      <c r="D133" s="63">
        <f>IF(F132+SUM(E$99:E132)=D$92,F132,D$92-SUM(E$99:E132))</f>
        <v>0</v>
      </c>
      <c r="E133" s="69">
        <f t="shared" si="19"/>
        <v>0</v>
      </c>
      <c r="F133" s="68">
        <f t="shared" si="20"/>
        <v>0</v>
      </c>
      <c r="G133" s="68">
        <f t="shared" si="21"/>
        <v>0</v>
      </c>
      <c r="H133" s="130">
        <f t="shared" si="15"/>
        <v>0</v>
      </c>
      <c r="I133" s="139">
        <f t="shared" si="16"/>
        <v>0</v>
      </c>
      <c r="J133" s="67">
        <f t="shared" si="22"/>
        <v>0</v>
      </c>
      <c r="K133" s="67"/>
      <c r="L133" s="132"/>
      <c r="M133" s="67">
        <f t="shared" si="23"/>
        <v>0</v>
      </c>
      <c r="N133" s="132"/>
      <c r="O133" s="67">
        <f t="shared" si="24"/>
        <v>0</v>
      </c>
      <c r="P133" s="67">
        <f t="shared" si="25"/>
        <v>0</v>
      </c>
    </row>
    <row r="134" spans="2:16">
      <c r="B134" s="9" t="str">
        <f t="shared" si="18"/>
        <v/>
      </c>
      <c r="C134" s="62">
        <f>IF(D93="","-",+C133+1)</f>
        <v>2050</v>
      </c>
      <c r="D134" s="63">
        <f>IF(F133+SUM(E$99:E133)=D$92,F133,D$92-SUM(E$99:E133))</f>
        <v>0</v>
      </c>
      <c r="E134" s="69">
        <f t="shared" si="19"/>
        <v>0</v>
      </c>
      <c r="F134" s="68">
        <f t="shared" si="20"/>
        <v>0</v>
      </c>
      <c r="G134" s="68">
        <f t="shared" si="21"/>
        <v>0</v>
      </c>
      <c r="H134" s="130">
        <f t="shared" si="15"/>
        <v>0</v>
      </c>
      <c r="I134" s="139">
        <f t="shared" si="16"/>
        <v>0</v>
      </c>
      <c r="J134" s="67">
        <f t="shared" si="22"/>
        <v>0</v>
      </c>
      <c r="K134" s="67"/>
      <c r="L134" s="132"/>
      <c r="M134" s="67">
        <f t="shared" si="23"/>
        <v>0</v>
      </c>
      <c r="N134" s="132"/>
      <c r="O134" s="67">
        <f t="shared" si="24"/>
        <v>0</v>
      </c>
      <c r="P134" s="67">
        <f t="shared" si="25"/>
        <v>0</v>
      </c>
    </row>
    <row r="135" spans="2:16">
      <c r="B135" s="9" t="str">
        <f t="shared" si="18"/>
        <v/>
      </c>
      <c r="C135" s="62">
        <f>IF(D93="","-",+C134+1)</f>
        <v>2051</v>
      </c>
      <c r="D135" s="63">
        <f>IF(F134+SUM(E$99:E134)=D$92,F134,D$92-SUM(E$99:E134))</f>
        <v>0</v>
      </c>
      <c r="E135" s="69">
        <f t="shared" si="19"/>
        <v>0</v>
      </c>
      <c r="F135" s="68">
        <f t="shared" si="20"/>
        <v>0</v>
      </c>
      <c r="G135" s="68">
        <f t="shared" si="21"/>
        <v>0</v>
      </c>
      <c r="H135" s="130">
        <f t="shared" si="15"/>
        <v>0</v>
      </c>
      <c r="I135" s="139">
        <f t="shared" si="16"/>
        <v>0</v>
      </c>
      <c r="J135" s="67">
        <f t="shared" si="22"/>
        <v>0</v>
      </c>
      <c r="K135" s="67"/>
      <c r="L135" s="132"/>
      <c r="M135" s="67">
        <f t="shared" si="23"/>
        <v>0</v>
      </c>
      <c r="N135" s="132"/>
      <c r="O135" s="67">
        <f t="shared" si="24"/>
        <v>0</v>
      </c>
      <c r="P135" s="67">
        <f t="shared" si="25"/>
        <v>0</v>
      </c>
    </row>
    <row r="136" spans="2:16">
      <c r="B136" s="9" t="str">
        <f t="shared" si="18"/>
        <v/>
      </c>
      <c r="C136" s="62">
        <f>IF(D93="","-",+C135+1)</f>
        <v>2052</v>
      </c>
      <c r="D136" s="63">
        <f>IF(F135+SUM(E$99:E135)=D$92,F135,D$92-SUM(E$99:E135))</f>
        <v>0</v>
      </c>
      <c r="E136" s="69">
        <f t="shared" si="19"/>
        <v>0</v>
      </c>
      <c r="F136" s="68">
        <f t="shared" si="20"/>
        <v>0</v>
      </c>
      <c r="G136" s="68">
        <f t="shared" si="21"/>
        <v>0</v>
      </c>
      <c r="H136" s="130">
        <f t="shared" si="15"/>
        <v>0</v>
      </c>
      <c r="I136" s="139">
        <f t="shared" si="16"/>
        <v>0</v>
      </c>
      <c r="J136" s="67">
        <f t="shared" si="22"/>
        <v>0</v>
      </c>
      <c r="K136" s="67"/>
      <c r="L136" s="132"/>
      <c r="M136" s="67">
        <f t="shared" si="23"/>
        <v>0</v>
      </c>
      <c r="N136" s="132"/>
      <c r="O136" s="67">
        <f t="shared" si="24"/>
        <v>0</v>
      </c>
      <c r="P136" s="67">
        <f t="shared" si="25"/>
        <v>0</v>
      </c>
    </row>
    <row r="137" spans="2:16">
      <c r="B137" s="9" t="str">
        <f t="shared" si="18"/>
        <v/>
      </c>
      <c r="C137" s="62">
        <f>IF(D93="","-",+C136+1)</f>
        <v>2053</v>
      </c>
      <c r="D137" s="63">
        <f>IF(F136+SUM(E$99:E136)=D$92,F136,D$92-SUM(E$99:E136))</f>
        <v>0</v>
      </c>
      <c r="E137" s="69">
        <f t="shared" si="19"/>
        <v>0</v>
      </c>
      <c r="F137" s="68">
        <f t="shared" si="20"/>
        <v>0</v>
      </c>
      <c r="G137" s="68">
        <f t="shared" si="21"/>
        <v>0</v>
      </c>
      <c r="H137" s="130">
        <f t="shared" si="15"/>
        <v>0</v>
      </c>
      <c r="I137" s="139">
        <f t="shared" si="16"/>
        <v>0</v>
      </c>
      <c r="J137" s="67">
        <f t="shared" si="22"/>
        <v>0</v>
      </c>
      <c r="K137" s="67"/>
      <c r="L137" s="132"/>
      <c r="M137" s="67">
        <f t="shared" si="23"/>
        <v>0</v>
      </c>
      <c r="N137" s="132"/>
      <c r="O137" s="67">
        <f t="shared" si="24"/>
        <v>0</v>
      </c>
      <c r="P137" s="67">
        <f t="shared" si="25"/>
        <v>0</v>
      </c>
    </row>
    <row r="138" spans="2:16">
      <c r="B138" s="9" t="str">
        <f t="shared" si="18"/>
        <v/>
      </c>
      <c r="C138" s="62">
        <f>IF(D93="","-",+C137+1)</f>
        <v>2054</v>
      </c>
      <c r="D138" s="63">
        <f>IF(F137+SUM(E$99:E137)=D$92,F137,D$92-SUM(E$99:E137))</f>
        <v>0</v>
      </c>
      <c r="E138" s="69">
        <f t="shared" si="19"/>
        <v>0</v>
      </c>
      <c r="F138" s="68">
        <f t="shared" si="20"/>
        <v>0</v>
      </c>
      <c r="G138" s="68">
        <f t="shared" si="21"/>
        <v>0</v>
      </c>
      <c r="H138" s="130">
        <f t="shared" si="15"/>
        <v>0</v>
      </c>
      <c r="I138" s="139">
        <f t="shared" si="16"/>
        <v>0</v>
      </c>
      <c r="J138" s="67">
        <f t="shared" si="22"/>
        <v>0</v>
      </c>
      <c r="K138" s="67"/>
      <c r="L138" s="132"/>
      <c r="M138" s="67">
        <f t="shared" si="23"/>
        <v>0</v>
      </c>
      <c r="N138" s="132"/>
      <c r="O138" s="67">
        <f t="shared" si="24"/>
        <v>0</v>
      </c>
      <c r="P138" s="67">
        <f t="shared" si="25"/>
        <v>0</v>
      </c>
    </row>
    <row r="139" spans="2:16">
      <c r="B139" s="9" t="str">
        <f t="shared" si="18"/>
        <v/>
      </c>
      <c r="C139" s="62">
        <f>IF(D93="","-",+C138+1)</f>
        <v>2055</v>
      </c>
      <c r="D139" s="63">
        <f>IF(F138+SUM(E$99:E138)=D$92,F138,D$92-SUM(E$99:E138))</f>
        <v>0</v>
      </c>
      <c r="E139" s="69">
        <f t="shared" si="19"/>
        <v>0</v>
      </c>
      <c r="F139" s="68">
        <f t="shared" si="20"/>
        <v>0</v>
      </c>
      <c r="G139" s="68">
        <f t="shared" si="21"/>
        <v>0</v>
      </c>
      <c r="H139" s="130">
        <f t="shared" si="15"/>
        <v>0</v>
      </c>
      <c r="I139" s="139">
        <f t="shared" si="16"/>
        <v>0</v>
      </c>
      <c r="J139" s="67">
        <f t="shared" si="22"/>
        <v>0</v>
      </c>
      <c r="K139" s="67"/>
      <c r="L139" s="132"/>
      <c r="M139" s="67">
        <f t="shared" si="23"/>
        <v>0</v>
      </c>
      <c r="N139" s="132"/>
      <c r="O139" s="67">
        <f t="shared" si="24"/>
        <v>0</v>
      </c>
      <c r="P139" s="67">
        <f t="shared" si="25"/>
        <v>0</v>
      </c>
    </row>
    <row r="140" spans="2:16">
      <c r="B140" s="9" t="str">
        <f t="shared" si="18"/>
        <v/>
      </c>
      <c r="C140" s="62">
        <f>IF(D93="","-",+C139+1)</f>
        <v>2056</v>
      </c>
      <c r="D140" s="63">
        <f>IF(F139+SUM(E$99:E139)=D$92,F139,D$92-SUM(E$99:E139))</f>
        <v>0</v>
      </c>
      <c r="E140" s="69">
        <f t="shared" si="19"/>
        <v>0</v>
      </c>
      <c r="F140" s="68">
        <f t="shared" si="20"/>
        <v>0</v>
      </c>
      <c r="G140" s="68">
        <f t="shared" si="21"/>
        <v>0</v>
      </c>
      <c r="H140" s="130">
        <f t="shared" si="15"/>
        <v>0</v>
      </c>
      <c r="I140" s="139">
        <f t="shared" si="16"/>
        <v>0</v>
      </c>
      <c r="J140" s="67">
        <f t="shared" si="22"/>
        <v>0</v>
      </c>
      <c r="K140" s="67"/>
      <c r="L140" s="132"/>
      <c r="M140" s="67">
        <f t="shared" si="23"/>
        <v>0</v>
      </c>
      <c r="N140" s="132"/>
      <c r="O140" s="67">
        <f t="shared" si="24"/>
        <v>0</v>
      </c>
      <c r="P140" s="67">
        <f t="shared" si="25"/>
        <v>0</v>
      </c>
    </row>
    <row r="141" spans="2:16">
      <c r="B141" s="9" t="str">
        <f t="shared" si="18"/>
        <v/>
      </c>
      <c r="C141" s="62">
        <f>IF(D93="","-",+C140+1)</f>
        <v>2057</v>
      </c>
      <c r="D141" s="63">
        <f>IF(F140+SUM(E$99:E140)=D$92,F140,D$92-SUM(E$99:E140))</f>
        <v>0</v>
      </c>
      <c r="E141" s="69">
        <f t="shared" si="19"/>
        <v>0</v>
      </c>
      <c r="F141" s="68">
        <f t="shared" si="20"/>
        <v>0</v>
      </c>
      <c r="G141" s="68">
        <f t="shared" si="21"/>
        <v>0</v>
      </c>
      <c r="H141" s="130">
        <f t="shared" si="15"/>
        <v>0</v>
      </c>
      <c r="I141" s="139">
        <f t="shared" si="16"/>
        <v>0</v>
      </c>
      <c r="J141" s="67">
        <f t="shared" si="22"/>
        <v>0</v>
      </c>
      <c r="K141" s="67"/>
      <c r="L141" s="132"/>
      <c r="M141" s="67">
        <f t="shared" si="23"/>
        <v>0</v>
      </c>
      <c r="N141" s="132"/>
      <c r="O141" s="67">
        <f t="shared" si="24"/>
        <v>0</v>
      </c>
      <c r="P141" s="67">
        <f t="shared" si="25"/>
        <v>0</v>
      </c>
    </row>
    <row r="142" spans="2:16">
      <c r="B142" s="9" t="str">
        <f t="shared" si="18"/>
        <v/>
      </c>
      <c r="C142" s="62">
        <f>IF(D93="","-",+C141+1)</f>
        <v>2058</v>
      </c>
      <c r="D142" s="63">
        <f>IF(F141+SUM(E$99:E141)=D$92,F141,D$92-SUM(E$99:E141))</f>
        <v>0</v>
      </c>
      <c r="E142" s="69">
        <f t="shared" si="19"/>
        <v>0</v>
      </c>
      <c r="F142" s="68">
        <f t="shared" si="20"/>
        <v>0</v>
      </c>
      <c r="G142" s="68">
        <f t="shared" si="21"/>
        <v>0</v>
      </c>
      <c r="H142" s="130">
        <f t="shared" si="15"/>
        <v>0</v>
      </c>
      <c r="I142" s="139">
        <f t="shared" si="16"/>
        <v>0</v>
      </c>
      <c r="J142" s="67">
        <f t="shared" si="22"/>
        <v>0</v>
      </c>
      <c r="K142" s="67"/>
      <c r="L142" s="132"/>
      <c r="M142" s="67">
        <f t="shared" si="23"/>
        <v>0</v>
      </c>
      <c r="N142" s="132"/>
      <c r="O142" s="67">
        <f t="shared" si="24"/>
        <v>0</v>
      </c>
      <c r="P142" s="67">
        <f t="shared" si="25"/>
        <v>0</v>
      </c>
    </row>
    <row r="143" spans="2:16">
      <c r="B143" s="9" t="str">
        <f t="shared" si="18"/>
        <v/>
      </c>
      <c r="C143" s="62">
        <f>IF(D93="","-",+C142+1)</f>
        <v>2059</v>
      </c>
      <c r="D143" s="63">
        <f>IF(F142+SUM(E$99:E142)=D$92,F142,D$92-SUM(E$99:E142))</f>
        <v>0</v>
      </c>
      <c r="E143" s="69">
        <f t="shared" si="19"/>
        <v>0</v>
      </c>
      <c r="F143" s="68">
        <f t="shared" si="20"/>
        <v>0</v>
      </c>
      <c r="G143" s="68">
        <f t="shared" si="21"/>
        <v>0</v>
      </c>
      <c r="H143" s="130">
        <f t="shared" si="15"/>
        <v>0</v>
      </c>
      <c r="I143" s="139">
        <f t="shared" si="16"/>
        <v>0</v>
      </c>
      <c r="J143" s="67">
        <f t="shared" si="22"/>
        <v>0</v>
      </c>
      <c r="K143" s="67"/>
      <c r="L143" s="132"/>
      <c r="M143" s="67">
        <f t="shared" si="23"/>
        <v>0</v>
      </c>
      <c r="N143" s="132"/>
      <c r="O143" s="67">
        <f t="shared" si="24"/>
        <v>0</v>
      </c>
      <c r="P143" s="67">
        <f t="shared" si="25"/>
        <v>0</v>
      </c>
    </row>
    <row r="144" spans="2:16">
      <c r="B144" s="9" t="str">
        <f t="shared" si="18"/>
        <v/>
      </c>
      <c r="C144" s="62">
        <f>IF(D93="","-",+C143+1)</f>
        <v>2060</v>
      </c>
      <c r="D144" s="63">
        <f>IF(F143+SUM(E$99:E143)=D$92,F143,D$92-SUM(E$99:E143))</f>
        <v>0</v>
      </c>
      <c r="E144" s="69">
        <f t="shared" si="19"/>
        <v>0</v>
      </c>
      <c r="F144" s="68">
        <f t="shared" si="20"/>
        <v>0</v>
      </c>
      <c r="G144" s="68">
        <f t="shared" si="21"/>
        <v>0</v>
      </c>
      <c r="H144" s="130">
        <f t="shared" si="15"/>
        <v>0</v>
      </c>
      <c r="I144" s="139">
        <f t="shared" si="16"/>
        <v>0</v>
      </c>
      <c r="J144" s="67">
        <f t="shared" si="22"/>
        <v>0</v>
      </c>
      <c r="K144" s="67"/>
      <c r="L144" s="132"/>
      <c r="M144" s="67">
        <f t="shared" si="23"/>
        <v>0</v>
      </c>
      <c r="N144" s="132"/>
      <c r="O144" s="67">
        <f t="shared" si="24"/>
        <v>0</v>
      </c>
      <c r="P144" s="67">
        <f t="shared" si="25"/>
        <v>0</v>
      </c>
    </row>
    <row r="145" spans="2:16">
      <c r="B145" s="9" t="str">
        <f t="shared" si="18"/>
        <v/>
      </c>
      <c r="C145" s="62">
        <f>IF(D93="","-",+C144+1)</f>
        <v>2061</v>
      </c>
      <c r="D145" s="63">
        <f>IF(F144+SUM(E$99:E144)=D$92,F144,D$92-SUM(E$99:E144))</f>
        <v>0</v>
      </c>
      <c r="E145" s="69">
        <f t="shared" si="19"/>
        <v>0</v>
      </c>
      <c r="F145" s="68">
        <f t="shared" si="20"/>
        <v>0</v>
      </c>
      <c r="G145" s="68">
        <f t="shared" si="21"/>
        <v>0</v>
      </c>
      <c r="H145" s="130">
        <f t="shared" si="15"/>
        <v>0</v>
      </c>
      <c r="I145" s="139">
        <f t="shared" si="16"/>
        <v>0</v>
      </c>
      <c r="J145" s="67">
        <f t="shared" si="22"/>
        <v>0</v>
      </c>
      <c r="K145" s="67"/>
      <c r="L145" s="132"/>
      <c r="M145" s="67">
        <f t="shared" si="23"/>
        <v>0</v>
      </c>
      <c r="N145" s="132"/>
      <c r="O145" s="67">
        <f t="shared" si="24"/>
        <v>0</v>
      </c>
      <c r="P145" s="67">
        <f t="shared" si="25"/>
        <v>0</v>
      </c>
    </row>
    <row r="146" spans="2:16">
      <c r="B146" s="9" t="str">
        <f t="shared" si="18"/>
        <v/>
      </c>
      <c r="C146" s="62">
        <f>IF(D93="","-",+C145+1)</f>
        <v>2062</v>
      </c>
      <c r="D146" s="63">
        <f>IF(F145+SUM(E$99:E145)=D$92,F145,D$92-SUM(E$99:E145))</f>
        <v>0</v>
      </c>
      <c r="E146" s="69">
        <f t="shared" si="19"/>
        <v>0</v>
      </c>
      <c r="F146" s="68">
        <f t="shared" si="20"/>
        <v>0</v>
      </c>
      <c r="G146" s="68">
        <f t="shared" si="21"/>
        <v>0</v>
      </c>
      <c r="H146" s="130">
        <f t="shared" si="15"/>
        <v>0</v>
      </c>
      <c r="I146" s="139">
        <f t="shared" si="16"/>
        <v>0</v>
      </c>
      <c r="J146" s="67">
        <f t="shared" si="22"/>
        <v>0</v>
      </c>
      <c r="K146" s="67"/>
      <c r="L146" s="132"/>
      <c r="M146" s="67">
        <f t="shared" si="23"/>
        <v>0</v>
      </c>
      <c r="N146" s="132"/>
      <c r="O146" s="67">
        <f t="shared" si="24"/>
        <v>0</v>
      </c>
      <c r="P146" s="67">
        <f t="shared" si="25"/>
        <v>0</v>
      </c>
    </row>
    <row r="147" spans="2:16">
      <c r="B147" s="9" t="str">
        <f t="shared" si="18"/>
        <v/>
      </c>
      <c r="C147" s="62">
        <f>IF(D93="","-",+C146+1)</f>
        <v>2063</v>
      </c>
      <c r="D147" s="63">
        <f>IF(F146+SUM(E$99:E146)=D$92,F146,D$92-SUM(E$99:E146))</f>
        <v>0</v>
      </c>
      <c r="E147" s="69">
        <f t="shared" si="19"/>
        <v>0</v>
      </c>
      <c r="F147" s="68">
        <f t="shared" si="20"/>
        <v>0</v>
      </c>
      <c r="G147" s="68">
        <f t="shared" si="21"/>
        <v>0</v>
      </c>
      <c r="H147" s="130">
        <f t="shared" si="15"/>
        <v>0</v>
      </c>
      <c r="I147" s="139">
        <f t="shared" si="16"/>
        <v>0</v>
      </c>
      <c r="J147" s="67">
        <f t="shared" si="22"/>
        <v>0</v>
      </c>
      <c r="K147" s="67"/>
      <c r="L147" s="132"/>
      <c r="M147" s="67">
        <f t="shared" si="23"/>
        <v>0</v>
      </c>
      <c r="N147" s="132"/>
      <c r="O147" s="67">
        <f t="shared" si="24"/>
        <v>0</v>
      </c>
      <c r="P147" s="67">
        <f t="shared" si="25"/>
        <v>0</v>
      </c>
    </row>
    <row r="148" spans="2:16">
      <c r="B148" s="9" t="str">
        <f t="shared" si="18"/>
        <v/>
      </c>
      <c r="C148" s="62">
        <f>IF(D93="","-",+C147+1)</f>
        <v>2064</v>
      </c>
      <c r="D148" s="63">
        <f>IF(F147+SUM(E$99:E147)=D$92,F147,D$92-SUM(E$99:E147))</f>
        <v>0</v>
      </c>
      <c r="E148" s="69">
        <f t="shared" si="19"/>
        <v>0</v>
      </c>
      <c r="F148" s="68">
        <f t="shared" si="20"/>
        <v>0</v>
      </c>
      <c r="G148" s="68">
        <f t="shared" si="21"/>
        <v>0</v>
      </c>
      <c r="H148" s="130">
        <f t="shared" si="15"/>
        <v>0</v>
      </c>
      <c r="I148" s="139">
        <f t="shared" si="16"/>
        <v>0</v>
      </c>
      <c r="J148" s="67">
        <f t="shared" si="22"/>
        <v>0</v>
      </c>
      <c r="K148" s="67"/>
      <c r="L148" s="132"/>
      <c r="M148" s="67">
        <f t="shared" si="23"/>
        <v>0</v>
      </c>
      <c r="N148" s="132"/>
      <c r="O148" s="67">
        <f t="shared" si="24"/>
        <v>0</v>
      </c>
      <c r="P148" s="67">
        <f t="shared" si="25"/>
        <v>0</v>
      </c>
    </row>
    <row r="149" spans="2:16">
      <c r="B149" s="9" t="str">
        <f t="shared" si="18"/>
        <v/>
      </c>
      <c r="C149" s="62">
        <f>IF(D93="","-",+C148+1)</f>
        <v>2065</v>
      </c>
      <c r="D149" s="63">
        <f>IF(F148+SUM(E$99:E148)=D$92,F148,D$92-SUM(E$99:E148))</f>
        <v>0</v>
      </c>
      <c r="E149" s="69">
        <f t="shared" si="19"/>
        <v>0</v>
      </c>
      <c r="F149" s="68">
        <f t="shared" si="20"/>
        <v>0</v>
      </c>
      <c r="G149" s="68">
        <f t="shared" si="21"/>
        <v>0</v>
      </c>
      <c r="H149" s="130">
        <f t="shared" si="15"/>
        <v>0</v>
      </c>
      <c r="I149" s="139">
        <f t="shared" si="16"/>
        <v>0</v>
      </c>
      <c r="J149" s="67">
        <f t="shared" si="22"/>
        <v>0</v>
      </c>
      <c r="K149" s="67"/>
      <c r="L149" s="132"/>
      <c r="M149" s="67">
        <f t="shared" si="23"/>
        <v>0</v>
      </c>
      <c r="N149" s="132"/>
      <c r="O149" s="67">
        <f t="shared" si="24"/>
        <v>0</v>
      </c>
      <c r="P149" s="67">
        <f t="shared" si="25"/>
        <v>0</v>
      </c>
    </row>
    <row r="150" spans="2:16">
      <c r="B150" s="9" t="str">
        <f t="shared" si="18"/>
        <v/>
      </c>
      <c r="C150" s="62">
        <f>IF(D93="","-",+C149+1)</f>
        <v>2066</v>
      </c>
      <c r="D150" s="63">
        <f>IF(F149+SUM(E$99:E149)=D$92,F149,D$92-SUM(E$99:E149))</f>
        <v>0</v>
      </c>
      <c r="E150" s="69">
        <f t="shared" si="19"/>
        <v>0</v>
      </c>
      <c r="F150" s="68">
        <f t="shared" si="20"/>
        <v>0</v>
      </c>
      <c r="G150" s="68">
        <f t="shared" si="21"/>
        <v>0</v>
      </c>
      <c r="H150" s="130">
        <f t="shared" si="15"/>
        <v>0</v>
      </c>
      <c r="I150" s="139">
        <f t="shared" si="16"/>
        <v>0</v>
      </c>
      <c r="J150" s="67">
        <f t="shared" si="22"/>
        <v>0</v>
      </c>
      <c r="K150" s="67"/>
      <c r="L150" s="132"/>
      <c r="M150" s="67">
        <f t="shared" si="23"/>
        <v>0</v>
      </c>
      <c r="N150" s="132"/>
      <c r="O150" s="67">
        <f t="shared" si="24"/>
        <v>0</v>
      </c>
      <c r="P150" s="67">
        <f t="shared" si="25"/>
        <v>0</v>
      </c>
    </row>
    <row r="151" spans="2:16">
      <c r="B151" s="9" t="str">
        <f t="shared" si="18"/>
        <v/>
      </c>
      <c r="C151" s="62">
        <f>IF(D93="","-",+C150+1)</f>
        <v>2067</v>
      </c>
      <c r="D151" s="63">
        <f>IF(F150+SUM(E$99:E150)=D$92,F150,D$92-SUM(E$99:E150))</f>
        <v>0</v>
      </c>
      <c r="E151" s="69">
        <f t="shared" si="19"/>
        <v>0</v>
      </c>
      <c r="F151" s="68">
        <f t="shared" si="20"/>
        <v>0</v>
      </c>
      <c r="G151" s="68">
        <f t="shared" si="21"/>
        <v>0</v>
      </c>
      <c r="H151" s="130">
        <f t="shared" si="15"/>
        <v>0</v>
      </c>
      <c r="I151" s="139">
        <f t="shared" si="16"/>
        <v>0</v>
      </c>
      <c r="J151" s="67">
        <f t="shared" si="22"/>
        <v>0</v>
      </c>
      <c r="K151" s="67"/>
      <c r="L151" s="132"/>
      <c r="M151" s="67">
        <f t="shared" si="23"/>
        <v>0</v>
      </c>
      <c r="N151" s="132"/>
      <c r="O151" s="67">
        <f t="shared" si="24"/>
        <v>0</v>
      </c>
      <c r="P151" s="67">
        <f t="shared" si="25"/>
        <v>0</v>
      </c>
    </row>
    <row r="152" spans="2:16">
      <c r="B152" s="9" t="str">
        <f t="shared" si="18"/>
        <v/>
      </c>
      <c r="C152" s="62">
        <f>IF(D93="","-",+C151+1)</f>
        <v>2068</v>
      </c>
      <c r="D152" s="63">
        <f>IF(F151+SUM(E$99:E151)=D$92,F151,D$92-SUM(E$99:E151))</f>
        <v>0</v>
      </c>
      <c r="E152" s="69">
        <f t="shared" si="19"/>
        <v>0</v>
      </c>
      <c r="F152" s="68">
        <f t="shared" si="20"/>
        <v>0</v>
      </c>
      <c r="G152" s="68">
        <f t="shared" si="21"/>
        <v>0</v>
      </c>
      <c r="H152" s="130">
        <f t="shared" si="15"/>
        <v>0</v>
      </c>
      <c r="I152" s="139">
        <f t="shared" si="16"/>
        <v>0</v>
      </c>
      <c r="J152" s="67">
        <f t="shared" si="22"/>
        <v>0</v>
      </c>
      <c r="K152" s="67"/>
      <c r="L152" s="132"/>
      <c r="M152" s="67">
        <f t="shared" si="23"/>
        <v>0</v>
      </c>
      <c r="N152" s="132"/>
      <c r="O152" s="67">
        <f t="shared" si="24"/>
        <v>0</v>
      </c>
      <c r="P152" s="67">
        <f t="shared" si="25"/>
        <v>0</v>
      </c>
    </row>
    <row r="153" spans="2:16">
      <c r="B153" s="9" t="str">
        <f t="shared" si="18"/>
        <v/>
      </c>
      <c r="C153" s="62">
        <f>IF(D93="","-",+C152+1)</f>
        <v>2069</v>
      </c>
      <c r="D153" s="63">
        <f>IF(F152+SUM(E$99:E152)=D$92,F152,D$92-SUM(E$99:E152))</f>
        <v>0</v>
      </c>
      <c r="E153" s="69">
        <f t="shared" si="19"/>
        <v>0</v>
      </c>
      <c r="F153" s="68">
        <f t="shared" si="20"/>
        <v>0</v>
      </c>
      <c r="G153" s="68">
        <f t="shared" si="21"/>
        <v>0</v>
      </c>
      <c r="H153" s="130">
        <f t="shared" si="15"/>
        <v>0</v>
      </c>
      <c r="I153" s="139">
        <f t="shared" si="16"/>
        <v>0</v>
      </c>
      <c r="J153" s="67">
        <f t="shared" si="22"/>
        <v>0</v>
      </c>
      <c r="K153" s="67"/>
      <c r="L153" s="132"/>
      <c r="M153" s="67">
        <f t="shared" si="23"/>
        <v>0</v>
      </c>
      <c r="N153" s="132"/>
      <c r="O153" s="67">
        <f t="shared" si="24"/>
        <v>0</v>
      </c>
      <c r="P153" s="67">
        <f t="shared" si="25"/>
        <v>0</v>
      </c>
    </row>
    <row r="154" spans="2:16" ht="13.5" thickBot="1">
      <c r="B154" s="9" t="str">
        <f t="shared" si="18"/>
        <v/>
      </c>
      <c r="C154" s="72">
        <f>IF(D93="","-",+C153+1)</f>
        <v>2070</v>
      </c>
      <c r="D154" s="98">
        <f>IF(F153+SUM(E$99:E153)=D$92,F153,D$92-SUM(E$99:E153))</f>
        <v>0</v>
      </c>
      <c r="E154" s="74">
        <f t="shared" si="19"/>
        <v>0</v>
      </c>
      <c r="F154" s="73">
        <f t="shared" si="20"/>
        <v>0</v>
      </c>
      <c r="G154" s="73">
        <f t="shared" si="21"/>
        <v>0</v>
      </c>
      <c r="H154" s="140">
        <f t="shared" si="15"/>
        <v>0</v>
      </c>
      <c r="I154" s="141">
        <f t="shared" si="16"/>
        <v>0</v>
      </c>
      <c r="J154" s="76">
        <f t="shared" si="22"/>
        <v>0</v>
      </c>
      <c r="K154" s="67"/>
      <c r="L154" s="133"/>
      <c r="M154" s="76">
        <f t="shared" si="23"/>
        <v>0</v>
      </c>
      <c r="N154" s="133"/>
      <c r="O154" s="76">
        <f t="shared" si="24"/>
        <v>0</v>
      </c>
      <c r="P154" s="76">
        <f t="shared" si="25"/>
        <v>0</v>
      </c>
    </row>
    <row r="155" spans="2:16">
      <c r="C155" s="63" t="s">
        <v>77</v>
      </c>
      <c r="D155" s="20"/>
      <c r="E155" s="20">
        <f>SUM(E99:E154)</f>
        <v>0</v>
      </c>
      <c r="F155" s="20"/>
      <c r="G155" s="20"/>
      <c r="H155" s="20">
        <f>SUM(H99:H154)</f>
        <v>0</v>
      </c>
      <c r="I155" s="20">
        <f>SUM(I99:I154)</f>
        <v>0</v>
      </c>
      <c r="J155" s="20">
        <f>SUM(J99:J154)</f>
        <v>0</v>
      </c>
      <c r="K155" s="20"/>
      <c r="L155" s="20"/>
      <c r="M155" s="20"/>
      <c r="N155" s="20"/>
      <c r="O155" s="20"/>
      <c r="P155" s="1"/>
    </row>
    <row r="156" spans="2:16">
      <c r="C156" t="s">
        <v>100</v>
      </c>
      <c r="D156" s="2"/>
      <c r="E156" s="1"/>
      <c r="F156" s="1"/>
      <c r="G156" s="1"/>
      <c r="H156" s="1"/>
      <c r="I156" s="3"/>
      <c r="J156" s="3"/>
      <c r="K156" s="20"/>
      <c r="L156" s="3"/>
      <c r="M156" s="3"/>
      <c r="N156" s="3"/>
      <c r="O156" s="3"/>
      <c r="P156" s="1"/>
    </row>
    <row r="157" spans="2:16">
      <c r="C157" s="99"/>
      <c r="D157" s="2"/>
      <c r="E157" s="1"/>
      <c r="F157" s="1"/>
      <c r="G157" s="1"/>
      <c r="H157" s="1"/>
      <c r="I157" s="3"/>
      <c r="J157" s="3"/>
      <c r="K157" s="20"/>
      <c r="L157" s="3"/>
      <c r="M157" s="3"/>
      <c r="N157" s="3"/>
      <c r="O157" s="3"/>
      <c r="P157" s="1"/>
    </row>
    <row r="158" spans="2:16">
      <c r="C158" s="115" t="s">
        <v>149</v>
      </c>
      <c r="D158" s="2"/>
      <c r="E158" s="1"/>
      <c r="F158" s="1"/>
      <c r="G158" s="1"/>
      <c r="H158" s="1"/>
      <c r="I158" s="3"/>
      <c r="J158" s="3"/>
      <c r="K158" s="20"/>
      <c r="L158" s="3"/>
      <c r="M158" s="3"/>
      <c r="N158" s="3"/>
      <c r="O158" s="3"/>
      <c r="P158" s="1"/>
    </row>
    <row r="159" spans="2:16">
      <c r="C159" s="32" t="s">
        <v>78</v>
      </c>
      <c r="D159" s="63"/>
      <c r="E159" s="63"/>
      <c r="F159" s="63"/>
      <c r="G159" s="63"/>
      <c r="H159" s="20"/>
      <c r="I159" s="20"/>
      <c r="J159" s="78"/>
      <c r="K159" s="78"/>
      <c r="L159" s="78"/>
      <c r="M159" s="78"/>
      <c r="N159" s="78"/>
      <c r="O159" s="78"/>
      <c r="P159" s="1"/>
    </row>
    <row r="160" spans="2:16">
      <c r="C160" s="100" t="s">
        <v>79</v>
      </c>
      <c r="D160" s="63"/>
      <c r="E160" s="63"/>
      <c r="F160" s="63"/>
      <c r="G160" s="63"/>
      <c r="H160" s="20"/>
      <c r="I160" s="20"/>
      <c r="J160" s="78"/>
      <c r="K160" s="78"/>
      <c r="L160" s="78"/>
      <c r="M160" s="78"/>
      <c r="N160" s="78"/>
      <c r="O160" s="78"/>
      <c r="P160" s="1"/>
    </row>
    <row r="161" spans="3:16">
      <c r="C161" s="100"/>
      <c r="D161" s="63"/>
      <c r="E161" s="63"/>
      <c r="F161" s="63"/>
      <c r="G161" s="63"/>
      <c r="H161" s="20"/>
      <c r="I161" s="20"/>
      <c r="J161" s="78"/>
      <c r="K161" s="78"/>
      <c r="L161" s="78"/>
      <c r="M161" s="78"/>
      <c r="N161" s="78"/>
      <c r="O161" s="78"/>
      <c r="P161" s="1"/>
    </row>
    <row r="162" spans="3:16" ht="18">
      <c r="C162" s="100"/>
      <c r="D162" s="63"/>
      <c r="E162" s="63"/>
      <c r="F162" s="63"/>
      <c r="G162" s="63"/>
      <c r="H162" s="20"/>
      <c r="I162" s="20"/>
      <c r="J162" s="78"/>
      <c r="K162" s="78"/>
      <c r="L162" s="78"/>
      <c r="M162" s="78"/>
      <c r="N162" s="78"/>
      <c r="P162" s="112" t="s">
        <v>145</v>
      </c>
    </row>
  </sheetData>
  <phoneticPr fontId="0" type="noConversion"/>
  <conditionalFormatting sqref="C17:C72">
    <cfRule type="cellIs" dxfId="1" priority="1" stopIfTrue="1" operator="equal">
      <formula>$I$10</formula>
    </cfRule>
  </conditionalFormatting>
  <conditionalFormatting sqref="C99:C154">
    <cfRule type="cellIs" dxfId="0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P162"/>
  <sheetViews>
    <sheetView view="pageBreakPreview" topLeftCell="A7" zoomScale="80" zoomScaleNormal="100" zoomScaleSheetLayoutView="80" workbookViewId="0">
      <selection activeCell="D27" sqref="D2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14062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1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 t="str">
        <f>RIGHT(N3,3)</f>
        <v/>
      </c>
      <c r="P3" s="41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90708.453283775307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90708.453283775307</v>
      </c>
      <c r="O6" s="232"/>
      <c r="P6" s="232"/>
    </row>
    <row r="7" spans="1:16" ht="13.5" thickBot="1">
      <c r="C7" s="431" t="s">
        <v>46</v>
      </c>
      <c r="D7" s="432" t="s">
        <v>209</v>
      </c>
      <c r="E7" s="331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 t="str">
        <f>IF(D10&lt;100000,"DOES NOT MEET SPP $100,000 MINIMUM INVESTMENT FOR REGIONAL BPU SHARING.","")</f>
        <v/>
      </c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49</v>
      </c>
      <c r="E9" s="577" t="s">
        <v>354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f>893858</f>
        <v>893858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6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IF(D10=0,0,ROUND(D10/D13,0))</f>
        <v>21282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C17" s="472">
        <f>IF(D11= "","-",D11)</f>
        <v>2009</v>
      </c>
      <c r="D17" s="473">
        <v>579098</v>
      </c>
      <c r="E17" s="474">
        <v>5463</v>
      </c>
      <c r="F17" s="473">
        <v>573635</v>
      </c>
      <c r="G17" s="474">
        <v>56729</v>
      </c>
      <c r="H17" s="474">
        <v>56729</v>
      </c>
      <c r="I17" s="475">
        <f t="shared" ref="I17:I48" si="0">H17-G17</f>
        <v>0</v>
      </c>
      <c r="J17" s="475"/>
      <c r="K17" s="476">
        <v>56729</v>
      </c>
      <c r="L17" s="477">
        <f t="shared" ref="L17:L48" si="1">IF(K17&lt;&gt;0,+G17-K17,0)</f>
        <v>0</v>
      </c>
      <c r="M17" s="476">
        <v>56729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2010</v>
      </c>
      <c r="D18" s="479">
        <v>888395</v>
      </c>
      <c r="E18" s="480">
        <v>15962</v>
      </c>
      <c r="F18" s="479">
        <v>872433</v>
      </c>
      <c r="G18" s="480">
        <v>141851</v>
      </c>
      <c r="H18" s="481">
        <v>141851</v>
      </c>
      <c r="I18" s="475">
        <f t="shared" si="0"/>
        <v>0</v>
      </c>
      <c r="J18" s="475"/>
      <c r="K18" s="476">
        <f t="shared" ref="K18:K23" si="4">G18</f>
        <v>141851</v>
      </c>
      <c r="L18" s="478">
        <f t="shared" si="1"/>
        <v>0</v>
      </c>
      <c r="M18" s="476">
        <f t="shared" ref="M18:M23" si="5">H18</f>
        <v>141851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/>
      </c>
      <c r="C19" s="472">
        <f>IF(D11="","-",+C18+1)</f>
        <v>2011</v>
      </c>
      <c r="D19" s="479">
        <v>872433</v>
      </c>
      <c r="E19" s="480">
        <v>17527</v>
      </c>
      <c r="F19" s="479">
        <v>854906</v>
      </c>
      <c r="G19" s="480">
        <v>151356.84230707804</v>
      </c>
      <c r="H19" s="481">
        <v>151356.84230707804</v>
      </c>
      <c r="I19" s="475">
        <f t="shared" si="0"/>
        <v>0</v>
      </c>
      <c r="J19" s="475"/>
      <c r="K19" s="476">
        <f t="shared" si="4"/>
        <v>151356.84230707804</v>
      </c>
      <c r="L19" s="478">
        <f t="shared" si="1"/>
        <v>0</v>
      </c>
      <c r="M19" s="476">
        <f t="shared" si="5"/>
        <v>151356.84230707804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6">IF(D20=F19,"","IU")</f>
        <v/>
      </c>
      <c r="C20" s="482">
        <f>IF(D11="","-",+C19+1)</f>
        <v>2012</v>
      </c>
      <c r="D20" s="479">
        <v>854906</v>
      </c>
      <c r="E20" s="480">
        <v>17190</v>
      </c>
      <c r="F20" s="479">
        <v>837716</v>
      </c>
      <c r="G20" s="480">
        <v>133805.70830730975</v>
      </c>
      <c r="H20" s="481">
        <v>133805.70830730975</v>
      </c>
      <c r="I20" s="475">
        <f t="shared" si="0"/>
        <v>0</v>
      </c>
      <c r="J20" s="475"/>
      <c r="K20" s="476">
        <f t="shared" si="4"/>
        <v>133805.70830730975</v>
      </c>
      <c r="L20" s="478">
        <f t="shared" si="1"/>
        <v>0</v>
      </c>
      <c r="M20" s="476">
        <f t="shared" si="5"/>
        <v>133805.70830730975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6"/>
        <v/>
      </c>
      <c r="C21" s="482">
        <f>IF(D12="","-",+C20+1)</f>
        <v>2013</v>
      </c>
      <c r="D21" s="479">
        <v>837716</v>
      </c>
      <c r="E21" s="480">
        <v>17190</v>
      </c>
      <c r="F21" s="479">
        <v>820526</v>
      </c>
      <c r="G21" s="480">
        <v>134366.65985215519</v>
      </c>
      <c r="H21" s="481">
        <v>134366.65985215519</v>
      </c>
      <c r="I21" s="475">
        <v>0</v>
      </c>
      <c r="J21" s="475"/>
      <c r="K21" s="476">
        <f t="shared" si="4"/>
        <v>134366.65985215519</v>
      </c>
      <c r="L21" s="478">
        <f t="shared" ref="L21:L26" si="7">IF(K21&lt;&gt;0,+G21-K21,0)</f>
        <v>0</v>
      </c>
      <c r="M21" s="476">
        <f t="shared" si="5"/>
        <v>134366.65985215519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>
      <c r="B22" s="160" t="str">
        <f t="shared" si="6"/>
        <v/>
      </c>
      <c r="C22" s="472">
        <f>IF(D11="","-",+C21+1)</f>
        <v>2014</v>
      </c>
      <c r="D22" s="479">
        <v>820526</v>
      </c>
      <c r="E22" s="480">
        <v>17190</v>
      </c>
      <c r="F22" s="479">
        <v>803336</v>
      </c>
      <c r="G22" s="480">
        <v>127776.24380165605</v>
      </c>
      <c r="H22" s="481">
        <v>127776.24380165605</v>
      </c>
      <c r="I22" s="475">
        <v>0</v>
      </c>
      <c r="J22" s="475"/>
      <c r="K22" s="476">
        <f t="shared" si="4"/>
        <v>127776.24380165605</v>
      </c>
      <c r="L22" s="478">
        <f t="shared" si="7"/>
        <v>0</v>
      </c>
      <c r="M22" s="476">
        <f t="shared" si="5"/>
        <v>127776.24380165605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/>
      </c>
      <c r="C23" s="472">
        <f>IF(D11="","-",+C22+1)</f>
        <v>2015</v>
      </c>
      <c r="D23" s="479">
        <v>803336</v>
      </c>
      <c r="E23" s="480">
        <v>17190</v>
      </c>
      <c r="F23" s="479">
        <v>786146</v>
      </c>
      <c r="G23" s="480">
        <v>125577.25148028173</v>
      </c>
      <c r="H23" s="481">
        <v>125577.25148028173</v>
      </c>
      <c r="I23" s="475">
        <v>0</v>
      </c>
      <c r="J23" s="475"/>
      <c r="K23" s="476">
        <f t="shared" si="4"/>
        <v>125577.25148028173</v>
      </c>
      <c r="L23" s="478">
        <f t="shared" si="7"/>
        <v>0</v>
      </c>
      <c r="M23" s="476">
        <f t="shared" si="5"/>
        <v>125577.25148028173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2016</v>
      </c>
      <c r="D24" s="479">
        <v>786146</v>
      </c>
      <c r="E24" s="480">
        <v>17190</v>
      </c>
      <c r="F24" s="479">
        <v>768956</v>
      </c>
      <c r="G24" s="480">
        <v>118045.98754263212</v>
      </c>
      <c r="H24" s="481">
        <v>118045.98754263212</v>
      </c>
      <c r="I24" s="475">
        <f t="shared" si="0"/>
        <v>0</v>
      </c>
      <c r="J24" s="475"/>
      <c r="K24" s="476">
        <f t="shared" ref="K24:K29" si="10">G24</f>
        <v>118045.98754263212</v>
      </c>
      <c r="L24" s="478">
        <f t="shared" si="7"/>
        <v>0</v>
      </c>
      <c r="M24" s="476">
        <f t="shared" ref="M24:M29" si="11">H24</f>
        <v>118045.98754263212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2017</v>
      </c>
      <c r="D25" s="479">
        <v>768956</v>
      </c>
      <c r="E25" s="480">
        <v>19432</v>
      </c>
      <c r="F25" s="479">
        <v>749524</v>
      </c>
      <c r="G25" s="480">
        <v>114816.91495996526</v>
      </c>
      <c r="H25" s="481">
        <v>114816.91495996526</v>
      </c>
      <c r="I25" s="475">
        <f t="shared" si="0"/>
        <v>0</v>
      </c>
      <c r="J25" s="475"/>
      <c r="K25" s="476">
        <f t="shared" si="10"/>
        <v>114816.91495996526</v>
      </c>
      <c r="L25" s="478">
        <f t="shared" si="7"/>
        <v>0</v>
      </c>
      <c r="M25" s="476">
        <f t="shared" si="11"/>
        <v>114816.91495996526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2018</v>
      </c>
      <c r="D26" s="479">
        <v>749524</v>
      </c>
      <c r="E26" s="480">
        <v>19864</v>
      </c>
      <c r="F26" s="479">
        <v>729660</v>
      </c>
      <c r="G26" s="480">
        <v>108436.75447594153</v>
      </c>
      <c r="H26" s="481">
        <v>108436.75447594153</v>
      </c>
      <c r="I26" s="475">
        <f t="shared" si="0"/>
        <v>0</v>
      </c>
      <c r="J26" s="475"/>
      <c r="K26" s="476">
        <f t="shared" si="10"/>
        <v>108436.75447594153</v>
      </c>
      <c r="L26" s="478">
        <f t="shared" si="7"/>
        <v>0</v>
      </c>
      <c r="M26" s="476">
        <f t="shared" si="11"/>
        <v>108436.75447594153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2019</v>
      </c>
      <c r="D27" s="479">
        <v>729660</v>
      </c>
      <c r="E27" s="480">
        <v>22346</v>
      </c>
      <c r="F27" s="479">
        <v>707314</v>
      </c>
      <c r="G27" s="480">
        <v>102569.83805108386</v>
      </c>
      <c r="H27" s="481">
        <v>102569.83805108386</v>
      </c>
      <c r="I27" s="475">
        <f t="shared" si="0"/>
        <v>0</v>
      </c>
      <c r="J27" s="475"/>
      <c r="K27" s="476">
        <f t="shared" si="10"/>
        <v>102569.83805108386</v>
      </c>
      <c r="L27" s="478">
        <f t="shared" ref="L27" si="12">IF(K27&lt;&gt;0,+G27-K27,0)</f>
        <v>0</v>
      </c>
      <c r="M27" s="476">
        <f t="shared" si="11"/>
        <v>102569.83805108386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>
      <c r="B28" s="160" t="str">
        <f t="shared" si="6"/>
        <v>IU</v>
      </c>
      <c r="C28" s="472">
        <f>IF(D11="","-",+C27+1)</f>
        <v>2020</v>
      </c>
      <c r="D28" s="479">
        <v>709796</v>
      </c>
      <c r="E28" s="480">
        <v>21282</v>
      </c>
      <c r="F28" s="479">
        <v>688514</v>
      </c>
      <c r="G28" s="480">
        <v>96794.079800478314</v>
      </c>
      <c r="H28" s="481">
        <v>96794.079800478314</v>
      </c>
      <c r="I28" s="475">
        <f t="shared" si="0"/>
        <v>0</v>
      </c>
      <c r="J28" s="475"/>
      <c r="K28" s="476">
        <f t="shared" si="10"/>
        <v>96794.079800478314</v>
      </c>
      <c r="L28" s="478">
        <f t="shared" ref="L28" si="15">IF(K28&lt;&gt;0,+G28-K28,0)</f>
        <v>0</v>
      </c>
      <c r="M28" s="476">
        <f t="shared" si="11"/>
        <v>96794.079800478314</v>
      </c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6"/>
        <v>IU</v>
      </c>
      <c r="C29" s="472">
        <f>IF(D11="","-",+C28+1)</f>
        <v>2021</v>
      </c>
      <c r="D29" s="479">
        <v>686032</v>
      </c>
      <c r="E29" s="480">
        <v>20787</v>
      </c>
      <c r="F29" s="479">
        <v>665245</v>
      </c>
      <c r="G29" s="480">
        <v>92514.814817027102</v>
      </c>
      <c r="H29" s="481">
        <v>92514.814817027102</v>
      </c>
      <c r="I29" s="475">
        <f t="shared" si="0"/>
        <v>0</v>
      </c>
      <c r="J29" s="475"/>
      <c r="K29" s="476">
        <f t="shared" si="10"/>
        <v>92514.814817027102</v>
      </c>
      <c r="L29" s="478">
        <f t="shared" ref="L29" si="16">IF(K29&lt;&gt;0,+G29-K29,0)</f>
        <v>0</v>
      </c>
      <c r="M29" s="476">
        <f t="shared" si="11"/>
        <v>92514.814817027102</v>
      </c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6"/>
        <v/>
      </c>
      <c r="C30" s="472">
        <f>IF(D11="","-",+C29+1)</f>
        <v>2022</v>
      </c>
      <c r="D30" s="483">
        <f>IF(F29+SUM(E$17:E29)=D$10,F29,D$10-SUM(E$17:E29))</f>
        <v>665245</v>
      </c>
      <c r="E30" s="484">
        <f>IF(+I14&lt;F29,I14,D30)</f>
        <v>21282</v>
      </c>
      <c r="F30" s="485">
        <f t="shared" ref="F30:F48" si="17">+D30-E30</f>
        <v>643963</v>
      </c>
      <c r="G30" s="486">
        <f t="shared" ref="G30:G72" si="18">+I$12*F30+E30</f>
        <v>90708.453283775307</v>
      </c>
      <c r="H30" s="455">
        <f t="shared" ref="H30:H72" si="19">+I$13*F30+E30</f>
        <v>90708.453283775307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6"/>
        <v/>
      </c>
      <c r="C31" s="472">
        <f>IF(D11="","-",+C30+1)</f>
        <v>2023</v>
      </c>
      <c r="D31" s="483">
        <f>IF(F30+SUM(E$17:E30)=D$10,F30,D$10-SUM(E$17:E30))</f>
        <v>643963</v>
      </c>
      <c r="E31" s="484">
        <f>IF(+I14&lt;F30,I14,D31)</f>
        <v>21282</v>
      </c>
      <c r="F31" s="485">
        <f t="shared" si="17"/>
        <v>622681</v>
      </c>
      <c r="G31" s="486">
        <f t="shared" si="18"/>
        <v>88414.014350505371</v>
      </c>
      <c r="H31" s="455">
        <f t="shared" si="19"/>
        <v>88414.014350505371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/>
      </c>
      <c r="C32" s="472">
        <f>IF(D11="","-",+C31+1)</f>
        <v>2024</v>
      </c>
      <c r="D32" s="483">
        <f>IF(F31+SUM(E$17:E31)=D$10,F31,D$10-SUM(E$17:E31))</f>
        <v>622681</v>
      </c>
      <c r="E32" s="484">
        <f>IF(+I14&lt;F31,I14,D32)</f>
        <v>21282</v>
      </c>
      <c r="F32" s="485">
        <f t="shared" si="17"/>
        <v>601399</v>
      </c>
      <c r="G32" s="486">
        <f t="shared" si="18"/>
        <v>86119.575417235435</v>
      </c>
      <c r="H32" s="455">
        <f t="shared" si="19"/>
        <v>86119.575417235435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2025</v>
      </c>
      <c r="D33" s="483">
        <f>IF(F32+SUM(E$17:E32)=D$10,F32,D$10-SUM(E$17:E32))</f>
        <v>601399</v>
      </c>
      <c r="E33" s="484">
        <f>IF(+I14&lt;F32,I14,D33)</f>
        <v>21282</v>
      </c>
      <c r="F33" s="485">
        <f t="shared" si="17"/>
        <v>580117</v>
      </c>
      <c r="G33" s="486">
        <f t="shared" si="18"/>
        <v>83825.1364839655</v>
      </c>
      <c r="H33" s="455">
        <f t="shared" si="19"/>
        <v>83825.1364839655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2026</v>
      </c>
      <c r="D34" s="483">
        <f>IF(F33+SUM(E$17:E33)=D$10,F33,D$10-SUM(E$17:E33))</f>
        <v>580117</v>
      </c>
      <c r="E34" s="484">
        <f>IF(+I14&lt;F33,I14,D34)</f>
        <v>21282</v>
      </c>
      <c r="F34" s="485">
        <f t="shared" si="17"/>
        <v>558835</v>
      </c>
      <c r="G34" s="486">
        <f t="shared" si="18"/>
        <v>81530.697550695564</v>
      </c>
      <c r="H34" s="455">
        <f t="shared" si="19"/>
        <v>81530.697550695564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2027</v>
      </c>
      <c r="D35" s="483">
        <f>IF(F34+SUM(E$17:E34)=D$10,F34,D$10-SUM(E$17:E34))</f>
        <v>558835</v>
      </c>
      <c r="E35" s="484">
        <f>IF(+I14&lt;F34,I14,D35)</f>
        <v>21282</v>
      </c>
      <c r="F35" s="485">
        <f t="shared" si="17"/>
        <v>537553</v>
      </c>
      <c r="G35" s="486">
        <f t="shared" si="18"/>
        <v>79236.258617425628</v>
      </c>
      <c r="H35" s="455">
        <f t="shared" si="19"/>
        <v>79236.258617425628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2028</v>
      </c>
      <c r="D36" s="483">
        <f>IF(F35+SUM(E$17:E35)=D$10,F35,D$10-SUM(E$17:E35))</f>
        <v>537553</v>
      </c>
      <c r="E36" s="484">
        <f>IF(+I14&lt;F35,I14,D36)</f>
        <v>21282</v>
      </c>
      <c r="F36" s="485">
        <f t="shared" si="17"/>
        <v>516271</v>
      </c>
      <c r="G36" s="486">
        <f t="shared" si="18"/>
        <v>76941.819684155707</v>
      </c>
      <c r="H36" s="455">
        <f t="shared" si="19"/>
        <v>76941.819684155707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2029</v>
      </c>
      <c r="D37" s="483">
        <f>IF(F36+SUM(E$17:E36)=D$10,F36,D$10-SUM(E$17:E36))</f>
        <v>516271</v>
      </c>
      <c r="E37" s="484">
        <f>IF(+I14&lt;F36,I14,D37)</f>
        <v>21282</v>
      </c>
      <c r="F37" s="485">
        <f t="shared" si="17"/>
        <v>494989</v>
      </c>
      <c r="G37" s="486">
        <f t="shared" si="18"/>
        <v>74647.380750885772</v>
      </c>
      <c r="H37" s="455">
        <f t="shared" si="19"/>
        <v>74647.380750885772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2030</v>
      </c>
      <c r="D38" s="483">
        <f>IF(F37+SUM(E$17:E37)=D$10,F37,D$10-SUM(E$17:E37))</f>
        <v>494989</v>
      </c>
      <c r="E38" s="484">
        <f>IF(+I14&lt;F37,I14,D38)</f>
        <v>21282</v>
      </c>
      <c r="F38" s="485">
        <f t="shared" si="17"/>
        <v>473707</v>
      </c>
      <c r="G38" s="486">
        <f t="shared" si="18"/>
        <v>72352.941817615836</v>
      </c>
      <c r="H38" s="455">
        <f t="shared" si="19"/>
        <v>72352.941817615836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2031</v>
      </c>
      <c r="D39" s="483">
        <f>IF(F38+SUM(E$17:E38)=D$10,F38,D$10-SUM(E$17:E38))</f>
        <v>473707</v>
      </c>
      <c r="E39" s="484">
        <f>IF(+I14&lt;F38,I14,D39)</f>
        <v>21282</v>
      </c>
      <c r="F39" s="485">
        <f t="shared" si="17"/>
        <v>452425</v>
      </c>
      <c r="G39" s="486">
        <f t="shared" si="18"/>
        <v>70058.502884345915</v>
      </c>
      <c r="H39" s="455">
        <f t="shared" si="19"/>
        <v>70058.502884345915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2032</v>
      </c>
      <c r="D40" s="483">
        <f>IF(F39+SUM(E$17:E39)=D$10,F39,D$10-SUM(E$17:E39))</f>
        <v>452425</v>
      </c>
      <c r="E40" s="484">
        <f>IF(+I14&lt;F39,I14,D40)</f>
        <v>21282</v>
      </c>
      <c r="F40" s="485">
        <f t="shared" si="17"/>
        <v>431143</v>
      </c>
      <c r="G40" s="486">
        <f t="shared" si="18"/>
        <v>67764.063951075979</v>
      </c>
      <c r="H40" s="455">
        <f t="shared" si="19"/>
        <v>67764.063951075979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2033</v>
      </c>
      <c r="D41" s="483">
        <f>IF(F40+SUM(E$17:E40)=D$10,F40,D$10-SUM(E$17:E40))</f>
        <v>431143</v>
      </c>
      <c r="E41" s="484">
        <f>IF(+I14&lt;F40,I14,D41)</f>
        <v>21282</v>
      </c>
      <c r="F41" s="485">
        <f t="shared" si="17"/>
        <v>409861</v>
      </c>
      <c r="G41" s="486">
        <f t="shared" si="18"/>
        <v>65469.625017806036</v>
      </c>
      <c r="H41" s="455">
        <f t="shared" si="19"/>
        <v>65469.625017806036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2034</v>
      </c>
      <c r="D42" s="483">
        <f>IF(F41+SUM(E$17:E41)=D$10,F41,D$10-SUM(E$17:E41))</f>
        <v>409861</v>
      </c>
      <c r="E42" s="484">
        <f>IF(+I14&lt;F41,I14,D42)</f>
        <v>21282</v>
      </c>
      <c r="F42" s="485">
        <f t="shared" si="17"/>
        <v>388579</v>
      </c>
      <c r="G42" s="486">
        <f t="shared" si="18"/>
        <v>63175.186084536108</v>
      </c>
      <c r="H42" s="455">
        <f t="shared" si="19"/>
        <v>63175.186084536108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2035</v>
      </c>
      <c r="D43" s="483">
        <f>IF(F42+SUM(E$17:E42)=D$10,F42,D$10-SUM(E$17:E42))</f>
        <v>388579</v>
      </c>
      <c r="E43" s="484">
        <f>IF(+I14&lt;F42,I14,D43)</f>
        <v>21282</v>
      </c>
      <c r="F43" s="485">
        <f t="shared" si="17"/>
        <v>367297</v>
      </c>
      <c r="G43" s="486">
        <f t="shared" si="18"/>
        <v>60880.747151266172</v>
      </c>
      <c r="H43" s="455">
        <f t="shared" si="19"/>
        <v>60880.747151266172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2036</v>
      </c>
      <c r="D44" s="483">
        <f>IF(F43+SUM(E$17:E43)=D$10,F43,D$10-SUM(E$17:E43))</f>
        <v>367297</v>
      </c>
      <c r="E44" s="484">
        <f>IF(+I14&lt;F43,I14,D44)</f>
        <v>21282</v>
      </c>
      <c r="F44" s="485">
        <f t="shared" si="17"/>
        <v>346015</v>
      </c>
      <c r="G44" s="486">
        <f t="shared" si="18"/>
        <v>58586.308217996237</v>
      </c>
      <c r="H44" s="455">
        <f t="shared" si="19"/>
        <v>58586.308217996237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2037</v>
      </c>
      <c r="D45" s="483">
        <f>IF(F44+SUM(E$17:E44)=D$10,F44,D$10-SUM(E$17:E44))</f>
        <v>346015</v>
      </c>
      <c r="E45" s="484">
        <f>IF(+I14&lt;F44,I14,D45)</f>
        <v>21282</v>
      </c>
      <c r="F45" s="485">
        <f t="shared" si="17"/>
        <v>324733</v>
      </c>
      <c r="G45" s="486">
        <f t="shared" si="18"/>
        <v>56291.869284726308</v>
      </c>
      <c r="H45" s="455">
        <f t="shared" si="19"/>
        <v>56291.869284726308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2038</v>
      </c>
      <c r="D46" s="483">
        <f>IF(F45+SUM(E$17:E45)=D$10,F45,D$10-SUM(E$17:E45))</f>
        <v>324733</v>
      </c>
      <c r="E46" s="484">
        <f>IF(+I14&lt;F45,I14,D46)</f>
        <v>21282</v>
      </c>
      <c r="F46" s="485">
        <f t="shared" si="17"/>
        <v>303451</v>
      </c>
      <c r="G46" s="486">
        <f t="shared" si="18"/>
        <v>53997.430351456373</v>
      </c>
      <c r="H46" s="455">
        <f t="shared" si="19"/>
        <v>53997.430351456373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2039</v>
      </c>
      <c r="D47" s="483">
        <f>IF(F46+SUM(E$17:E46)=D$10,F46,D$10-SUM(E$17:E46))</f>
        <v>303451</v>
      </c>
      <c r="E47" s="484">
        <f>IF(+I14&lt;F46,I14,D47)</f>
        <v>21282</v>
      </c>
      <c r="F47" s="485">
        <f t="shared" si="17"/>
        <v>282169</v>
      </c>
      <c r="G47" s="486">
        <f t="shared" si="18"/>
        <v>51702.991418186444</v>
      </c>
      <c r="H47" s="455">
        <f t="shared" si="19"/>
        <v>51702.991418186444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2040</v>
      </c>
      <c r="D48" s="483">
        <f>IF(F47+SUM(E$17:E47)=D$10,F47,D$10-SUM(E$17:E47))</f>
        <v>282169</v>
      </c>
      <c r="E48" s="484">
        <f>IF(+I14&lt;F47,I14,D48)</f>
        <v>21282</v>
      </c>
      <c r="F48" s="485">
        <f t="shared" si="17"/>
        <v>260887</v>
      </c>
      <c r="G48" s="486">
        <f t="shared" si="18"/>
        <v>49408.552484916509</v>
      </c>
      <c r="H48" s="455">
        <f t="shared" si="19"/>
        <v>49408.552484916509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2041</v>
      </c>
      <c r="D49" s="483">
        <f>IF(F48+SUM(E$17:E48)=D$10,F48,D$10-SUM(E$17:E48))</f>
        <v>260887</v>
      </c>
      <c r="E49" s="484">
        <f>IF(+I14&lt;F48,I14,D49)</f>
        <v>21282</v>
      </c>
      <c r="F49" s="485">
        <f t="shared" ref="F49:F72" si="20">+D49-E49</f>
        <v>239605</v>
      </c>
      <c r="G49" s="486">
        <f t="shared" si="18"/>
        <v>47114.113551646573</v>
      </c>
      <c r="H49" s="455">
        <f t="shared" si="19"/>
        <v>47114.113551646573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6"/>
        <v/>
      </c>
      <c r="C50" s="472">
        <f>IF(D11="","-",+C49+1)</f>
        <v>2042</v>
      </c>
      <c r="D50" s="483">
        <f>IF(F49+SUM(E$17:E49)=D$10,F49,D$10-SUM(E$17:E49))</f>
        <v>239605</v>
      </c>
      <c r="E50" s="484">
        <f>IF(+I14&lt;F49,I14,D50)</f>
        <v>21282</v>
      </c>
      <c r="F50" s="485">
        <f t="shared" si="20"/>
        <v>218323</v>
      </c>
      <c r="G50" s="486">
        <f t="shared" si="18"/>
        <v>44819.674618376637</v>
      </c>
      <c r="H50" s="455">
        <f t="shared" si="19"/>
        <v>44819.674618376637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6"/>
        <v/>
      </c>
      <c r="C51" s="472">
        <f>IF(D11="","-",+C50+1)</f>
        <v>2043</v>
      </c>
      <c r="D51" s="483">
        <f>IF(F50+SUM(E$17:E50)=D$10,F50,D$10-SUM(E$17:E50))</f>
        <v>218323</v>
      </c>
      <c r="E51" s="484">
        <f>IF(+I14&lt;F50,I14,D51)</f>
        <v>21282</v>
      </c>
      <c r="F51" s="485">
        <f t="shared" si="20"/>
        <v>197041</v>
      </c>
      <c r="G51" s="486">
        <f t="shared" si="18"/>
        <v>42525.235685106702</v>
      </c>
      <c r="H51" s="455">
        <f t="shared" si="19"/>
        <v>42525.235685106702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6"/>
        <v/>
      </c>
      <c r="C52" s="472">
        <f>IF(D11="","-",+C51+1)</f>
        <v>2044</v>
      </c>
      <c r="D52" s="483">
        <f>IF(F51+SUM(E$17:E51)=D$10,F51,D$10-SUM(E$17:E51))</f>
        <v>197041</v>
      </c>
      <c r="E52" s="484">
        <f>IF(+I14&lt;F51,I14,D52)</f>
        <v>21282</v>
      </c>
      <c r="F52" s="485">
        <f t="shared" si="20"/>
        <v>175759</v>
      </c>
      <c r="G52" s="486">
        <f t="shared" si="18"/>
        <v>40230.796751836773</v>
      </c>
      <c r="H52" s="455">
        <f t="shared" si="19"/>
        <v>40230.796751836773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6"/>
        <v/>
      </c>
      <c r="C53" s="472">
        <f>IF(D11="","-",+C52+1)</f>
        <v>2045</v>
      </c>
      <c r="D53" s="483">
        <f>IF(F52+SUM(E$17:E52)=D$10,F52,D$10-SUM(E$17:E52))</f>
        <v>175759</v>
      </c>
      <c r="E53" s="484">
        <f>IF(+I14&lt;F52,I14,D53)</f>
        <v>21282</v>
      </c>
      <c r="F53" s="485">
        <f t="shared" si="20"/>
        <v>154477</v>
      </c>
      <c r="G53" s="486">
        <f t="shared" si="18"/>
        <v>37936.357818566845</v>
      </c>
      <c r="H53" s="455">
        <f t="shared" si="19"/>
        <v>37936.357818566845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6"/>
        <v/>
      </c>
      <c r="C54" s="472">
        <f>IF(D11="","-",+C53+1)</f>
        <v>2046</v>
      </c>
      <c r="D54" s="483">
        <f>IF(F53+SUM(E$17:E53)=D$10,F53,D$10-SUM(E$17:E53))</f>
        <v>154477</v>
      </c>
      <c r="E54" s="484">
        <f>IF(+I14&lt;F53,I14,D54)</f>
        <v>21282</v>
      </c>
      <c r="F54" s="485">
        <f t="shared" si="20"/>
        <v>133195</v>
      </c>
      <c r="G54" s="486">
        <f t="shared" si="18"/>
        <v>35641.918885296909</v>
      </c>
      <c r="H54" s="455">
        <f t="shared" si="19"/>
        <v>35641.918885296909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6"/>
        <v/>
      </c>
      <c r="C55" s="472">
        <f>IF(D11="","-",+C54+1)</f>
        <v>2047</v>
      </c>
      <c r="D55" s="483">
        <f>IF(F54+SUM(E$17:E54)=D$10,F54,D$10-SUM(E$17:E54))</f>
        <v>133195</v>
      </c>
      <c r="E55" s="484">
        <f>IF(+I14&lt;F54,I14,D55)</f>
        <v>21282</v>
      </c>
      <c r="F55" s="485">
        <f t="shared" si="20"/>
        <v>111913</v>
      </c>
      <c r="G55" s="486">
        <f t="shared" si="18"/>
        <v>33347.479952026973</v>
      </c>
      <c r="H55" s="455">
        <f t="shared" si="19"/>
        <v>33347.479952026973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6"/>
        <v/>
      </c>
      <c r="C56" s="472">
        <f>IF(D11="","-",+C55+1)</f>
        <v>2048</v>
      </c>
      <c r="D56" s="483">
        <f>IF(F55+SUM(E$17:E55)=D$10,F55,D$10-SUM(E$17:E55))</f>
        <v>111913</v>
      </c>
      <c r="E56" s="484">
        <f>IF(+I14&lt;F55,I14,D56)</f>
        <v>21282</v>
      </c>
      <c r="F56" s="485">
        <f t="shared" si="20"/>
        <v>90631</v>
      </c>
      <c r="G56" s="486">
        <f t="shared" si="18"/>
        <v>31053.041018757038</v>
      </c>
      <c r="H56" s="455">
        <f t="shared" si="19"/>
        <v>31053.041018757038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6"/>
        <v/>
      </c>
      <c r="C57" s="472">
        <f>IF(D11="","-",+C56+1)</f>
        <v>2049</v>
      </c>
      <c r="D57" s="483">
        <f>IF(F56+SUM(E$17:E56)=D$10,F56,D$10-SUM(E$17:E56))</f>
        <v>90631</v>
      </c>
      <c r="E57" s="484">
        <f>IF(+I14&lt;F56,I14,D57)</f>
        <v>21282</v>
      </c>
      <c r="F57" s="485">
        <f t="shared" si="20"/>
        <v>69349</v>
      </c>
      <c r="G57" s="486">
        <f t="shared" si="18"/>
        <v>28758.602085487106</v>
      </c>
      <c r="H57" s="455">
        <f t="shared" si="19"/>
        <v>28758.602085487106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6"/>
        <v/>
      </c>
      <c r="C58" s="472">
        <f>IF(D11="","-",+C57+1)</f>
        <v>2050</v>
      </c>
      <c r="D58" s="483">
        <f>IF(F57+SUM(E$17:E57)=D$10,F57,D$10-SUM(E$17:E57))</f>
        <v>69349</v>
      </c>
      <c r="E58" s="484">
        <f>IF(+I14&lt;F57,I14,D58)</f>
        <v>21282</v>
      </c>
      <c r="F58" s="485">
        <f t="shared" si="20"/>
        <v>48067</v>
      </c>
      <c r="G58" s="486">
        <f t="shared" si="18"/>
        <v>26464.163152217174</v>
      </c>
      <c r="H58" s="455">
        <f t="shared" si="19"/>
        <v>26464.163152217174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6"/>
        <v/>
      </c>
      <c r="C59" s="472">
        <f>IF(D11="","-",+C58+1)</f>
        <v>2051</v>
      </c>
      <c r="D59" s="483">
        <f>IF(F58+SUM(E$17:E58)=D$10,F58,D$10-SUM(E$17:E58))</f>
        <v>48067</v>
      </c>
      <c r="E59" s="484">
        <f>IF(+I14&lt;F58,I14,D59)</f>
        <v>21282</v>
      </c>
      <c r="F59" s="485">
        <f t="shared" si="20"/>
        <v>26785</v>
      </c>
      <c r="G59" s="486">
        <f t="shared" si="18"/>
        <v>24169.724218947238</v>
      </c>
      <c r="H59" s="455">
        <f t="shared" si="19"/>
        <v>24169.724218947238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6"/>
        <v/>
      </c>
      <c r="C60" s="472">
        <f>IF(D11="","-",+C59+1)</f>
        <v>2052</v>
      </c>
      <c r="D60" s="483">
        <f>IF(F59+SUM(E$17:E59)=D$10,F59,D$10-SUM(E$17:E59))</f>
        <v>26785</v>
      </c>
      <c r="E60" s="484">
        <f>IF(+I14&lt;F59,I14,D60)</f>
        <v>21282</v>
      </c>
      <c r="F60" s="485">
        <f t="shared" si="20"/>
        <v>5503</v>
      </c>
      <c r="G60" s="486">
        <f t="shared" si="18"/>
        <v>21875.285285677306</v>
      </c>
      <c r="H60" s="455">
        <f t="shared" si="19"/>
        <v>21875.285285677306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6"/>
        <v/>
      </c>
      <c r="C61" s="472">
        <f>IF(D11="","-",+C60+1)</f>
        <v>2053</v>
      </c>
      <c r="D61" s="483">
        <f>IF(F60+SUM(E$17:E60)=D$10,F60,D$10-SUM(E$17:E60))</f>
        <v>5503</v>
      </c>
      <c r="E61" s="484">
        <f>IF(+I14&lt;F60,I14,D61)</f>
        <v>5503</v>
      </c>
      <c r="F61" s="485">
        <f t="shared" si="20"/>
        <v>0</v>
      </c>
      <c r="G61" s="488">
        <f t="shared" si="18"/>
        <v>5503</v>
      </c>
      <c r="H61" s="455">
        <f t="shared" si="19"/>
        <v>5503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6"/>
        <v/>
      </c>
      <c r="C62" s="472">
        <f>IF(D11="","-",+C61+1)</f>
        <v>2054</v>
      </c>
      <c r="D62" s="483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160" t="str">
        <f t="shared" si="6"/>
        <v/>
      </c>
      <c r="C63" s="472">
        <f>IF(D11="","-",+C62+1)</f>
        <v>2055</v>
      </c>
      <c r="D63" s="483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6"/>
        <v/>
      </c>
      <c r="C64" s="472">
        <f>IF(D11="","-",+C63+1)</f>
        <v>2056</v>
      </c>
      <c r="D64" s="483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1:16">
      <c r="B65" s="160" t="str">
        <f t="shared" si="6"/>
        <v/>
      </c>
      <c r="C65" s="472">
        <f>IF(D11="","-",+C64+1)</f>
        <v>2057</v>
      </c>
      <c r="D65" s="483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1:16">
      <c r="B66" s="160" t="str">
        <f t="shared" si="6"/>
        <v/>
      </c>
      <c r="C66" s="472">
        <f>IF(D11="","-",+C65+1)</f>
        <v>2058</v>
      </c>
      <c r="D66" s="483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1:16">
      <c r="B67" s="160" t="str">
        <f t="shared" si="6"/>
        <v/>
      </c>
      <c r="C67" s="472">
        <f>IF(D11="","-",+C66+1)</f>
        <v>2059</v>
      </c>
      <c r="D67" s="483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1:16">
      <c r="B68" s="160" t="str">
        <f t="shared" si="6"/>
        <v/>
      </c>
      <c r="C68" s="472">
        <f>IF(D11="","-",+C67+1)</f>
        <v>2060</v>
      </c>
      <c r="D68" s="483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1:16">
      <c r="B69" s="160" t="str">
        <f t="shared" si="6"/>
        <v/>
      </c>
      <c r="C69" s="472">
        <f>IF(D11="","-",+C68+1)</f>
        <v>2061</v>
      </c>
      <c r="D69" s="483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1:16">
      <c r="B70" s="160" t="str">
        <f t="shared" si="6"/>
        <v/>
      </c>
      <c r="C70" s="472">
        <f>IF(D11="","-",+C69+1)</f>
        <v>2062</v>
      </c>
      <c r="D70" s="483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1:16">
      <c r="B71" s="160" t="str">
        <f t="shared" si="6"/>
        <v/>
      </c>
      <c r="C71" s="472">
        <f>IF(D11="","-",+C70+1)</f>
        <v>2063</v>
      </c>
      <c r="D71" s="483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1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1:16">
      <c r="C73" s="346" t="s">
        <v>77</v>
      </c>
      <c r="D73" s="347"/>
      <c r="E73" s="347">
        <f>SUM(E17:E72)</f>
        <v>893858</v>
      </c>
      <c r="F73" s="347"/>
      <c r="G73" s="347">
        <f>SUM(G17:G72)</f>
        <v>3255192.0432221242</v>
      </c>
      <c r="H73" s="347">
        <f>SUM(H17:H72)</f>
        <v>3255192.0432221242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1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1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1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1:16" ht="18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497"/>
      <c r="P77" s="242"/>
    </row>
    <row r="78" spans="1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1:16" ht="15">
      <c r="A79" s="498"/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</row>
    <row r="80" spans="1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499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1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96794.079800478314</v>
      </c>
      <c r="N87" s="508">
        <f>IF(J92&lt;D11,0,VLOOKUP(J92,C17:O72,11))</f>
        <v>96794.079800478314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100406.03532694498</v>
      </c>
      <c r="N88" s="512">
        <f>IF(J92&lt;D11,0,VLOOKUP(J92,C99:P154,7))</f>
        <v>100406.03532694498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Riverside-Glenpool (81-523) Reconductor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3611.9555264666706</v>
      </c>
      <c r="N89" s="517">
        <f>+N88-N87</f>
        <v>3611.9555264666706</v>
      </c>
      <c r="O89" s="518">
        <f>+O88-O87</f>
        <v>0</v>
      </c>
      <c r="P89" s="232"/>
    </row>
    <row r="90" spans="1:16" ht="13.5" thickBot="1">
      <c r="C90" s="496"/>
      <c r="D90" s="519" t="str">
        <f>D8</f>
        <v/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TP2006087</v>
      </c>
      <c r="E91" s="522"/>
      <c r="F91" s="522"/>
      <c r="G91" s="522"/>
      <c r="H91" s="522"/>
      <c r="I91" s="522"/>
      <c r="J91" s="523"/>
      <c r="K91" s="524"/>
      <c r="P91" s="445"/>
    </row>
    <row r="92" spans="1:16">
      <c r="C92" s="446" t="s">
        <v>226</v>
      </c>
      <c r="D92" s="447">
        <v>893858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6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21282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7981</v>
      </c>
      <c r="F99" s="479">
        <v>885877</v>
      </c>
      <c r="G99" s="537">
        <v>442938.5</v>
      </c>
      <c r="H99" s="538">
        <v>72742</v>
      </c>
      <c r="I99" s="539">
        <v>72742</v>
      </c>
      <c r="J99" s="478">
        <f t="shared" ref="J99:J130" si="25">+I99-H99</f>
        <v>0</v>
      </c>
      <c r="K99" s="478"/>
      <c r="L99" s="476">
        <f t="shared" ref="L99:L104" si="26">H99</f>
        <v>72742</v>
      </c>
      <c r="M99" s="477">
        <f t="shared" ref="M99:M130" si="27">IF(L99&lt;&gt;0,+H99-L99,0)</f>
        <v>0</v>
      </c>
      <c r="N99" s="476">
        <f t="shared" ref="N99:N104" si="28">I99</f>
        <v>72742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/>
      </c>
      <c r="C100" s="472">
        <f>IF(D93="","-",+C99+1)</f>
        <v>2010</v>
      </c>
      <c r="D100" s="473">
        <v>885877</v>
      </c>
      <c r="E100" s="480">
        <v>17527</v>
      </c>
      <c r="F100" s="479">
        <v>868350</v>
      </c>
      <c r="G100" s="479">
        <v>877113.5</v>
      </c>
      <c r="H100" s="538">
        <v>158580.20000000001</v>
      </c>
      <c r="I100" s="539">
        <v>158580.20000000001</v>
      </c>
      <c r="J100" s="478">
        <f t="shared" si="25"/>
        <v>0</v>
      </c>
      <c r="K100" s="478"/>
      <c r="L100" s="476">
        <f t="shared" si="26"/>
        <v>158580.20000000001</v>
      </c>
      <c r="M100" s="478">
        <f t="shared" si="27"/>
        <v>0</v>
      </c>
      <c r="N100" s="476">
        <f t="shared" si="28"/>
        <v>158580.20000000001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82">
        <f>IF(D93="","-",+C100+1)</f>
        <v>2011</v>
      </c>
      <c r="D101" s="473">
        <v>868350</v>
      </c>
      <c r="E101" s="480">
        <v>17190</v>
      </c>
      <c r="F101" s="479">
        <v>851160</v>
      </c>
      <c r="G101" s="479">
        <v>859755</v>
      </c>
      <c r="H101" s="480">
        <v>137395.30233025842</v>
      </c>
      <c r="I101" s="481">
        <v>137395.30233025842</v>
      </c>
      <c r="J101" s="478">
        <f t="shared" si="25"/>
        <v>0</v>
      </c>
      <c r="K101" s="478"/>
      <c r="L101" s="540">
        <f t="shared" si="26"/>
        <v>137395.30233025842</v>
      </c>
      <c r="M101" s="541">
        <f t="shared" si="27"/>
        <v>0</v>
      </c>
      <c r="N101" s="540">
        <f t="shared" si="28"/>
        <v>137395.30233025842</v>
      </c>
      <c r="O101" s="478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82">
        <f>IF(D93="","-",+C101+1)</f>
        <v>2012</v>
      </c>
      <c r="D102" s="473">
        <v>851160</v>
      </c>
      <c r="E102" s="480">
        <v>17190</v>
      </c>
      <c r="F102" s="479">
        <v>833970</v>
      </c>
      <c r="G102" s="479">
        <v>842565</v>
      </c>
      <c r="H102" s="480">
        <v>138397.59402070014</v>
      </c>
      <c r="I102" s="481">
        <v>138397.59402070014</v>
      </c>
      <c r="J102" s="478">
        <v>0</v>
      </c>
      <c r="K102" s="478"/>
      <c r="L102" s="540">
        <f t="shared" si="26"/>
        <v>138397.59402070014</v>
      </c>
      <c r="M102" s="541">
        <f t="shared" ref="M102:M107" si="32">IF(L102&lt;&gt;0,+H102-L102,0)</f>
        <v>0</v>
      </c>
      <c r="N102" s="540">
        <f t="shared" si="28"/>
        <v>138397.59402070014</v>
      </c>
      <c r="O102" s="478">
        <f t="shared" ref="O102:O107" si="33">IF(N102&lt;&gt;0,+I102-N102,0)</f>
        <v>0</v>
      </c>
      <c r="P102" s="478">
        <f t="shared" ref="P102:P107" si="34">+O102-M102</f>
        <v>0</v>
      </c>
    </row>
    <row r="103" spans="1:16">
      <c r="B103" s="160" t="str">
        <f t="shared" si="31"/>
        <v/>
      </c>
      <c r="C103" s="472">
        <f>IF(D93="","-",+C102+1)</f>
        <v>2013</v>
      </c>
      <c r="D103" s="473">
        <v>833970</v>
      </c>
      <c r="E103" s="480">
        <v>17190</v>
      </c>
      <c r="F103" s="479">
        <v>816780</v>
      </c>
      <c r="G103" s="479">
        <v>825375</v>
      </c>
      <c r="H103" s="480">
        <v>135994.14234787846</v>
      </c>
      <c r="I103" s="481">
        <v>135994.14234787846</v>
      </c>
      <c r="J103" s="478">
        <v>0</v>
      </c>
      <c r="K103" s="478"/>
      <c r="L103" s="540">
        <f t="shared" si="26"/>
        <v>135994.14234787846</v>
      </c>
      <c r="M103" s="541">
        <f t="shared" si="32"/>
        <v>0</v>
      </c>
      <c r="N103" s="540">
        <f t="shared" si="28"/>
        <v>135994.14234787846</v>
      </c>
      <c r="O103" s="478">
        <f t="shared" si="33"/>
        <v>0</v>
      </c>
      <c r="P103" s="478">
        <f t="shared" si="34"/>
        <v>0</v>
      </c>
    </row>
    <row r="104" spans="1:16">
      <c r="B104" s="160" t="str">
        <f t="shared" si="31"/>
        <v/>
      </c>
      <c r="C104" s="472">
        <f>IF(D93="","-",+C103+1)</f>
        <v>2014</v>
      </c>
      <c r="D104" s="473">
        <v>816780</v>
      </c>
      <c r="E104" s="480">
        <v>17190</v>
      </c>
      <c r="F104" s="479">
        <v>799590</v>
      </c>
      <c r="G104" s="479">
        <v>808185</v>
      </c>
      <c r="H104" s="480">
        <v>130817.50733584017</v>
      </c>
      <c r="I104" s="481">
        <v>130817.50733584017</v>
      </c>
      <c r="J104" s="478">
        <v>0</v>
      </c>
      <c r="K104" s="478"/>
      <c r="L104" s="540">
        <f t="shared" si="26"/>
        <v>130817.50733584017</v>
      </c>
      <c r="M104" s="541">
        <f t="shared" si="32"/>
        <v>0</v>
      </c>
      <c r="N104" s="540">
        <f t="shared" si="28"/>
        <v>130817.50733584017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2015</v>
      </c>
      <c r="D105" s="473">
        <v>799590</v>
      </c>
      <c r="E105" s="480">
        <v>17190</v>
      </c>
      <c r="F105" s="479">
        <v>782400</v>
      </c>
      <c r="G105" s="479">
        <v>790995</v>
      </c>
      <c r="H105" s="480">
        <v>125114.9078367878</v>
      </c>
      <c r="I105" s="481">
        <v>125114.9078367878</v>
      </c>
      <c r="J105" s="478">
        <f t="shared" si="25"/>
        <v>0</v>
      </c>
      <c r="K105" s="478"/>
      <c r="L105" s="540">
        <f t="shared" ref="L105:L110" si="35">H105</f>
        <v>125114.9078367878</v>
      </c>
      <c r="M105" s="541">
        <f t="shared" si="32"/>
        <v>0</v>
      </c>
      <c r="N105" s="540">
        <f t="shared" ref="N105:N110" si="36">I105</f>
        <v>125114.9078367878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2016</v>
      </c>
      <c r="D106" s="473">
        <v>782400</v>
      </c>
      <c r="E106" s="480">
        <v>19432</v>
      </c>
      <c r="F106" s="479">
        <v>762968</v>
      </c>
      <c r="G106" s="479">
        <v>772684</v>
      </c>
      <c r="H106" s="480">
        <v>119043.13650322839</v>
      </c>
      <c r="I106" s="481">
        <v>119043.13650322839</v>
      </c>
      <c r="J106" s="478">
        <f t="shared" si="25"/>
        <v>0</v>
      </c>
      <c r="K106" s="478"/>
      <c r="L106" s="540">
        <f t="shared" si="35"/>
        <v>119043.13650322839</v>
      </c>
      <c r="M106" s="541">
        <f t="shared" si="32"/>
        <v>0</v>
      </c>
      <c r="N106" s="540">
        <f t="shared" si="36"/>
        <v>119043.13650322839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2017</v>
      </c>
      <c r="D107" s="473">
        <v>762968</v>
      </c>
      <c r="E107" s="480">
        <v>19432</v>
      </c>
      <c r="F107" s="479">
        <v>743536</v>
      </c>
      <c r="G107" s="479">
        <v>753252</v>
      </c>
      <c r="H107" s="480">
        <v>114983.91552559278</v>
      </c>
      <c r="I107" s="481">
        <v>114983.91552559278</v>
      </c>
      <c r="J107" s="478">
        <f t="shared" si="25"/>
        <v>0</v>
      </c>
      <c r="K107" s="478"/>
      <c r="L107" s="540">
        <f t="shared" si="35"/>
        <v>114983.91552559278</v>
      </c>
      <c r="M107" s="541">
        <f t="shared" si="32"/>
        <v>0</v>
      </c>
      <c r="N107" s="540">
        <f t="shared" si="36"/>
        <v>114983.91552559278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2018</v>
      </c>
      <c r="D108" s="473">
        <v>743536</v>
      </c>
      <c r="E108" s="480">
        <v>20787</v>
      </c>
      <c r="F108" s="479">
        <v>722749</v>
      </c>
      <c r="G108" s="479">
        <v>733142.5</v>
      </c>
      <c r="H108" s="480">
        <v>96106.810302403712</v>
      </c>
      <c r="I108" s="481">
        <v>96106.810302403712</v>
      </c>
      <c r="J108" s="478">
        <f t="shared" si="25"/>
        <v>0</v>
      </c>
      <c r="K108" s="478"/>
      <c r="L108" s="540">
        <f t="shared" si="35"/>
        <v>96106.810302403712</v>
      </c>
      <c r="M108" s="541">
        <f t="shared" ref="M108" si="37">IF(L108&lt;&gt;0,+H108-L108,0)</f>
        <v>0</v>
      </c>
      <c r="N108" s="540">
        <f t="shared" si="36"/>
        <v>96106.810302403712</v>
      </c>
      <c r="O108" s="478">
        <f t="shared" ref="O108" si="38">IF(N108&lt;&gt;0,+I108-N108,0)</f>
        <v>0</v>
      </c>
      <c r="P108" s="478">
        <f t="shared" ref="P108" si="39">+O108-M108</f>
        <v>0</v>
      </c>
    </row>
    <row r="109" spans="1:16">
      <c r="B109" s="160" t="str">
        <f t="shared" si="31"/>
        <v/>
      </c>
      <c r="C109" s="472">
        <f>IF(D93="","-",+C108+1)</f>
        <v>2019</v>
      </c>
      <c r="D109" s="473">
        <v>722749</v>
      </c>
      <c r="E109" s="480">
        <v>21801</v>
      </c>
      <c r="F109" s="479">
        <v>700948</v>
      </c>
      <c r="G109" s="479">
        <v>711848.5</v>
      </c>
      <c r="H109" s="480">
        <v>95202.564794457576</v>
      </c>
      <c r="I109" s="481">
        <v>95202.564794457576</v>
      </c>
      <c r="J109" s="478">
        <f t="shared" si="25"/>
        <v>0</v>
      </c>
      <c r="K109" s="478"/>
      <c r="L109" s="540">
        <f t="shared" si="35"/>
        <v>95202.564794457576</v>
      </c>
      <c r="M109" s="541">
        <f t="shared" ref="M109:M110" si="40">IF(L109&lt;&gt;0,+H109-L109,0)</f>
        <v>0</v>
      </c>
      <c r="N109" s="540">
        <f t="shared" si="36"/>
        <v>95202.564794457576</v>
      </c>
      <c r="O109" s="478">
        <f t="shared" si="29"/>
        <v>0</v>
      </c>
      <c r="P109" s="478">
        <f t="shared" si="30"/>
        <v>0</v>
      </c>
    </row>
    <row r="110" spans="1:16">
      <c r="B110" s="160" t="str">
        <f t="shared" si="31"/>
        <v/>
      </c>
      <c r="C110" s="472">
        <f>IF(D93="","-",+C109+1)</f>
        <v>2020</v>
      </c>
      <c r="D110" s="473">
        <v>700948</v>
      </c>
      <c r="E110" s="480">
        <v>20787</v>
      </c>
      <c r="F110" s="479">
        <v>680161</v>
      </c>
      <c r="G110" s="479">
        <v>690554.5</v>
      </c>
      <c r="H110" s="480">
        <v>100406.03532694498</v>
      </c>
      <c r="I110" s="481">
        <v>100406.03532694498</v>
      </c>
      <c r="J110" s="478">
        <f t="shared" si="25"/>
        <v>0</v>
      </c>
      <c r="K110" s="478"/>
      <c r="L110" s="540">
        <f t="shared" si="35"/>
        <v>100406.03532694498</v>
      </c>
      <c r="M110" s="541">
        <f t="shared" si="40"/>
        <v>0</v>
      </c>
      <c r="N110" s="540">
        <f t="shared" si="36"/>
        <v>100406.03532694498</v>
      </c>
      <c r="O110" s="478">
        <f t="shared" si="29"/>
        <v>0</v>
      </c>
      <c r="P110" s="478">
        <f t="shared" si="30"/>
        <v>0</v>
      </c>
    </row>
    <row r="111" spans="1:16">
      <c r="B111" s="160" t="str">
        <f t="shared" si="31"/>
        <v/>
      </c>
      <c r="C111" s="472">
        <f>IF(D93="","-",+C110+1)</f>
        <v>2021</v>
      </c>
      <c r="D111" s="346">
        <f>IF(F110+SUM(E$99:E110)=D$92,F110,D$92-SUM(E$99:E110))</f>
        <v>680161</v>
      </c>
      <c r="E111" s="486">
        <f>IF(+J96&lt;F110,J96,D111)</f>
        <v>21282</v>
      </c>
      <c r="F111" s="485">
        <f t="shared" ref="F111:F130" si="41">+D111-E111</f>
        <v>658879</v>
      </c>
      <c r="G111" s="485">
        <f t="shared" ref="G111:G130" si="42">+(F111+D111)/2</f>
        <v>669520</v>
      </c>
      <c r="H111" s="488">
        <f t="shared" ref="H111:H131" si="43">+J$94*G111+E111</f>
        <v>93463.785292871238</v>
      </c>
      <c r="I111" s="542">
        <f t="shared" ref="I111:I131" si="44">+J$95*G111+E111</f>
        <v>93463.785292871238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2022</v>
      </c>
      <c r="D112" s="346">
        <f>IF(F111+SUM(E$99:E111)=D$92,F111,D$92-SUM(E$99:E111))</f>
        <v>658879</v>
      </c>
      <c r="E112" s="486">
        <f>IF(+J96&lt;F111,J96,D112)</f>
        <v>21282</v>
      </c>
      <c r="F112" s="485">
        <f t="shared" si="41"/>
        <v>637597</v>
      </c>
      <c r="G112" s="485">
        <f t="shared" si="42"/>
        <v>648238</v>
      </c>
      <c r="H112" s="488">
        <f t="shared" si="43"/>
        <v>91169.346359601303</v>
      </c>
      <c r="I112" s="542">
        <f t="shared" si="44"/>
        <v>91169.346359601303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2023</v>
      </c>
      <c r="D113" s="346">
        <f>IF(F112+SUM(E$99:E112)=D$92,F112,D$92-SUM(E$99:E112))</f>
        <v>637597</v>
      </c>
      <c r="E113" s="486">
        <f>IF(+J96&lt;F112,J96,D113)</f>
        <v>21282</v>
      </c>
      <c r="F113" s="485">
        <f t="shared" si="41"/>
        <v>616315</v>
      </c>
      <c r="G113" s="485">
        <f t="shared" si="42"/>
        <v>626956</v>
      </c>
      <c r="H113" s="488">
        <f t="shared" si="43"/>
        <v>88874.907426331367</v>
      </c>
      <c r="I113" s="542">
        <f t="shared" si="44"/>
        <v>88874.907426331367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2024</v>
      </c>
      <c r="D114" s="346">
        <f>IF(F113+SUM(E$99:E113)=D$92,F113,D$92-SUM(E$99:E113))</f>
        <v>616315</v>
      </c>
      <c r="E114" s="486">
        <f>IF(+J96&lt;F113,J96,D114)</f>
        <v>21282</v>
      </c>
      <c r="F114" s="485">
        <f t="shared" si="41"/>
        <v>595033</v>
      </c>
      <c r="G114" s="485">
        <f t="shared" si="42"/>
        <v>605674</v>
      </c>
      <c r="H114" s="488">
        <f t="shared" si="43"/>
        <v>86580.468493061431</v>
      </c>
      <c r="I114" s="542">
        <f t="shared" si="44"/>
        <v>86580.468493061431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2025</v>
      </c>
      <c r="D115" s="346">
        <f>IF(F114+SUM(E$99:E114)=D$92,F114,D$92-SUM(E$99:E114))</f>
        <v>595033</v>
      </c>
      <c r="E115" s="486">
        <f>IF(+J96&lt;F114,J96,D115)</f>
        <v>21282</v>
      </c>
      <c r="F115" s="485">
        <f t="shared" si="41"/>
        <v>573751</v>
      </c>
      <c r="G115" s="485">
        <f t="shared" si="42"/>
        <v>584392</v>
      </c>
      <c r="H115" s="488">
        <f t="shared" si="43"/>
        <v>84286.029559791496</v>
      </c>
      <c r="I115" s="542">
        <f t="shared" si="44"/>
        <v>84286.029559791496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2026</v>
      </c>
      <c r="D116" s="346">
        <f>IF(F115+SUM(E$99:E115)=D$92,F115,D$92-SUM(E$99:E115))</f>
        <v>573751</v>
      </c>
      <c r="E116" s="486">
        <f>IF(+J96&lt;F115,J96,D116)</f>
        <v>21282</v>
      </c>
      <c r="F116" s="485">
        <f t="shared" si="41"/>
        <v>552469</v>
      </c>
      <c r="G116" s="485">
        <f t="shared" si="42"/>
        <v>563110</v>
      </c>
      <c r="H116" s="488">
        <f t="shared" si="43"/>
        <v>81991.590626521574</v>
      </c>
      <c r="I116" s="542">
        <f t="shared" si="44"/>
        <v>81991.590626521574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2027</v>
      </c>
      <c r="D117" s="346">
        <f>IF(F116+SUM(E$99:E116)=D$92,F116,D$92-SUM(E$99:E116))</f>
        <v>552469</v>
      </c>
      <c r="E117" s="486">
        <f>IF(+J96&lt;F116,J96,D117)</f>
        <v>21282</v>
      </c>
      <c r="F117" s="485">
        <f t="shared" si="41"/>
        <v>531187</v>
      </c>
      <c r="G117" s="485">
        <f t="shared" si="42"/>
        <v>541828</v>
      </c>
      <c r="H117" s="488">
        <f t="shared" si="43"/>
        <v>79697.151693251639</v>
      </c>
      <c r="I117" s="542">
        <f t="shared" si="44"/>
        <v>79697.151693251639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2028</v>
      </c>
      <c r="D118" s="346">
        <f>IF(F117+SUM(E$99:E117)=D$92,F117,D$92-SUM(E$99:E117))</f>
        <v>531187</v>
      </c>
      <c r="E118" s="486">
        <f>IF(+J96&lt;F117,J96,D118)</f>
        <v>21282</v>
      </c>
      <c r="F118" s="485">
        <f t="shared" si="41"/>
        <v>509905</v>
      </c>
      <c r="G118" s="485">
        <f t="shared" si="42"/>
        <v>520546</v>
      </c>
      <c r="H118" s="488">
        <f t="shared" si="43"/>
        <v>77402.712759981703</v>
      </c>
      <c r="I118" s="542">
        <f t="shared" si="44"/>
        <v>77402.712759981703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2029</v>
      </c>
      <c r="D119" s="346">
        <f>IF(F118+SUM(E$99:E118)=D$92,F118,D$92-SUM(E$99:E118))</f>
        <v>509905</v>
      </c>
      <c r="E119" s="486">
        <f>IF(+J96&lt;F118,J96,D119)</f>
        <v>21282</v>
      </c>
      <c r="F119" s="485">
        <f t="shared" si="41"/>
        <v>488623</v>
      </c>
      <c r="G119" s="485">
        <f t="shared" si="42"/>
        <v>499264</v>
      </c>
      <c r="H119" s="488">
        <f t="shared" si="43"/>
        <v>75108.273826711782</v>
      </c>
      <c r="I119" s="542">
        <f t="shared" si="44"/>
        <v>75108.273826711782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2030</v>
      </c>
      <c r="D120" s="346">
        <f>IF(F119+SUM(E$99:E119)=D$92,F119,D$92-SUM(E$99:E119))</f>
        <v>488623</v>
      </c>
      <c r="E120" s="486">
        <f>IF(+J96&lt;F119,J96,D120)</f>
        <v>21282</v>
      </c>
      <c r="F120" s="485">
        <f t="shared" si="41"/>
        <v>467341</v>
      </c>
      <c r="G120" s="485">
        <f t="shared" si="42"/>
        <v>477982</v>
      </c>
      <c r="H120" s="488">
        <f t="shared" si="43"/>
        <v>72813.834893441846</v>
      </c>
      <c r="I120" s="542">
        <f t="shared" si="44"/>
        <v>72813.834893441846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2031</v>
      </c>
      <c r="D121" s="346">
        <f>IF(F120+SUM(E$99:E120)=D$92,F120,D$92-SUM(E$99:E120))</f>
        <v>467341</v>
      </c>
      <c r="E121" s="486">
        <f>IF(+J96&lt;F120,J96,D121)</f>
        <v>21282</v>
      </c>
      <c r="F121" s="485">
        <f t="shared" si="41"/>
        <v>446059</v>
      </c>
      <c r="G121" s="485">
        <f t="shared" si="42"/>
        <v>456700</v>
      </c>
      <c r="H121" s="488">
        <f t="shared" si="43"/>
        <v>70519.395960171911</v>
      </c>
      <c r="I121" s="542">
        <f t="shared" si="44"/>
        <v>70519.395960171911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2032</v>
      </c>
      <c r="D122" s="346">
        <f>IF(F121+SUM(E$99:E121)=D$92,F121,D$92-SUM(E$99:E121))</f>
        <v>446059</v>
      </c>
      <c r="E122" s="486">
        <f>IF(+J96&lt;F121,J96,D122)</f>
        <v>21282</v>
      </c>
      <c r="F122" s="485">
        <f t="shared" si="41"/>
        <v>424777</v>
      </c>
      <c r="G122" s="485">
        <f t="shared" si="42"/>
        <v>435418</v>
      </c>
      <c r="H122" s="488">
        <f t="shared" si="43"/>
        <v>68224.957026901975</v>
      </c>
      <c r="I122" s="542">
        <f t="shared" si="44"/>
        <v>68224.957026901975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2033</v>
      </c>
      <c r="D123" s="346">
        <f>IF(F122+SUM(E$99:E122)=D$92,F122,D$92-SUM(E$99:E122))</f>
        <v>424777</v>
      </c>
      <c r="E123" s="486">
        <f>IF(+J96&lt;F122,J96,D123)</f>
        <v>21282</v>
      </c>
      <c r="F123" s="485">
        <f t="shared" si="41"/>
        <v>403495</v>
      </c>
      <c r="G123" s="485">
        <f t="shared" si="42"/>
        <v>414136</v>
      </c>
      <c r="H123" s="488">
        <f t="shared" si="43"/>
        <v>65930.518093632039</v>
      </c>
      <c r="I123" s="542">
        <f t="shared" si="44"/>
        <v>65930.518093632039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2034</v>
      </c>
      <c r="D124" s="346">
        <f>IF(F123+SUM(E$99:E123)=D$92,F123,D$92-SUM(E$99:E123))</f>
        <v>403495</v>
      </c>
      <c r="E124" s="486">
        <f>IF(+J96&lt;F123,J96,D124)</f>
        <v>21282</v>
      </c>
      <c r="F124" s="485">
        <f t="shared" si="41"/>
        <v>382213</v>
      </c>
      <c r="G124" s="485">
        <f t="shared" si="42"/>
        <v>392854</v>
      </c>
      <c r="H124" s="488">
        <f t="shared" si="43"/>
        <v>63636.079160362104</v>
      </c>
      <c r="I124" s="542">
        <f t="shared" si="44"/>
        <v>63636.079160362104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2035</v>
      </c>
      <c r="D125" s="346">
        <f>IF(F124+SUM(E$99:E124)=D$92,F124,D$92-SUM(E$99:E124))</f>
        <v>382213</v>
      </c>
      <c r="E125" s="486">
        <f>IF(+J96&lt;F124,J96,D125)</f>
        <v>21282</v>
      </c>
      <c r="F125" s="485">
        <f t="shared" si="41"/>
        <v>360931</v>
      </c>
      <c r="G125" s="485">
        <f t="shared" si="42"/>
        <v>371572</v>
      </c>
      <c r="H125" s="488">
        <f t="shared" si="43"/>
        <v>61341.640227092175</v>
      </c>
      <c r="I125" s="542">
        <f t="shared" si="44"/>
        <v>61341.640227092175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2036</v>
      </c>
      <c r="D126" s="346">
        <f>IF(F125+SUM(E$99:E125)=D$92,F125,D$92-SUM(E$99:E125))</f>
        <v>360931</v>
      </c>
      <c r="E126" s="486">
        <f>IF(+J96&lt;F125,J96,D126)</f>
        <v>21282</v>
      </c>
      <c r="F126" s="485">
        <f t="shared" si="41"/>
        <v>339649</v>
      </c>
      <c r="G126" s="485">
        <f t="shared" si="42"/>
        <v>350290</v>
      </c>
      <c r="H126" s="488">
        <f t="shared" si="43"/>
        <v>59047.20129382224</v>
      </c>
      <c r="I126" s="542">
        <f t="shared" si="44"/>
        <v>59047.20129382224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2037</v>
      </c>
      <c r="D127" s="346">
        <f>IF(F126+SUM(E$99:E126)=D$92,F126,D$92-SUM(E$99:E126))</f>
        <v>339649</v>
      </c>
      <c r="E127" s="486">
        <f>IF(+J96&lt;F126,J96,D127)</f>
        <v>21282</v>
      </c>
      <c r="F127" s="485">
        <f t="shared" si="41"/>
        <v>318367</v>
      </c>
      <c r="G127" s="485">
        <f t="shared" si="42"/>
        <v>329008</v>
      </c>
      <c r="H127" s="488">
        <f t="shared" si="43"/>
        <v>56752.762360552304</v>
      </c>
      <c r="I127" s="542">
        <f t="shared" si="44"/>
        <v>56752.762360552304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2038</v>
      </c>
      <c r="D128" s="346">
        <f>IF(F127+SUM(E$99:E127)=D$92,F127,D$92-SUM(E$99:E127))</f>
        <v>318367</v>
      </c>
      <c r="E128" s="486">
        <f>IF(+J96&lt;F127,J96,D128)</f>
        <v>21282</v>
      </c>
      <c r="F128" s="485">
        <f t="shared" si="41"/>
        <v>297085</v>
      </c>
      <c r="G128" s="485">
        <f t="shared" si="42"/>
        <v>307726</v>
      </c>
      <c r="H128" s="488">
        <f t="shared" si="43"/>
        <v>54458.323427282376</v>
      </c>
      <c r="I128" s="542">
        <f t="shared" si="44"/>
        <v>54458.323427282376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2039</v>
      </c>
      <c r="D129" s="346">
        <f>IF(F128+SUM(E$99:E128)=D$92,F128,D$92-SUM(E$99:E128))</f>
        <v>297085</v>
      </c>
      <c r="E129" s="486">
        <f>IF(+J96&lt;F128,J96,D129)</f>
        <v>21282</v>
      </c>
      <c r="F129" s="485">
        <f t="shared" si="41"/>
        <v>275803</v>
      </c>
      <c r="G129" s="485">
        <f t="shared" si="42"/>
        <v>286444</v>
      </c>
      <c r="H129" s="488">
        <f t="shared" si="43"/>
        <v>52163.88449401244</v>
      </c>
      <c r="I129" s="542">
        <f t="shared" si="44"/>
        <v>52163.88449401244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2040</v>
      </c>
      <c r="D130" s="346">
        <f>IF(F129+SUM(E$99:E129)=D$92,F129,D$92-SUM(E$99:E129))</f>
        <v>275803</v>
      </c>
      <c r="E130" s="486">
        <f>IF(+J96&lt;F129,J96,D130)</f>
        <v>21282</v>
      </c>
      <c r="F130" s="485">
        <f t="shared" si="41"/>
        <v>254521</v>
      </c>
      <c r="G130" s="485">
        <f t="shared" si="42"/>
        <v>265162</v>
      </c>
      <c r="H130" s="488">
        <f t="shared" si="43"/>
        <v>49869.445560742504</v>
      </c>
      <c r="I130" s="542">
        <f t="shared" si="44"/>
        <v>49869.445560742504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2041</v>
      </c>
      <c r="D131" s="346">
        <f>IF(F130+SUM(E$99:E130)=D$92,F130,D$92-SUM(E$99:E130))</f>
        <v>254521</v>
      </c>
      <c r="E131" s="486">
        <f>IF(+J96&lt;F130,J96,D131)</f>
        <v>21282</v>
      </c>
      <c r="F131" s="485">
        <f t="shared" ref="F131:F154" si="45">+D131-E131</f>
        <v>233239</v>
      </c>
      <c r="G131" s="485">
        <f t="shared" ref="G131:G154" si="46">+(F131+D131)/2</f>
        <v>243880</v>
      </c>
      <c r="H131" s="488">
        <f t="shared" si="43"/>
        <v>47575.006627472569</v>
      </c>
      <c r="I131" s="542">
        <f t="shared" si="44"/>
        <v>47575.006627472569</v>
      </c>
      <c r="J131" s="478">
        <f t="shared" ref="J131:J154" si="47">+I131-H131</f>
        <v>0</v>
      </c>
      <c r="K131" s="478"/>
      <c r="L131" s="487"/>
      <c r="M131" s="478">
        <f t="shared" ref="M131:M154" si="48">IF(L131&lt;&gt;0,+H131-L131,0)</f>
        <v>0</v>
      </c>
      <c r="N131" s="487"/>
      <c r="O131" s="478">
        <f t="shared" ref="O131:O154" si="49">IF(N131&lt;&gt;0,+I131-N131,0)</f>
        <v>0</v>
      </c>
      <c r="P131" s="478">
        <f t="shared" ref="P131:P154" si="50">+O131-M131</f>
        <v>0</v>
      </c>
    </row>
    <row r="132" spans="2:16">
      <c r="B132" s="160" t="str">
        <f t="shared" si="31"/>
        <v/>
      </c>
      <c r="C132" s="472">
        <f>IF(D93="","-",+C131+1)</f>
        <v>2042</v>
      </c>
      <c r="D132" s="346">
        <f>IF(F131+SUM(E$99:E131)=D$92,F131,D$92-SUM(E$99:E131))</f>
        <v>233239</v>
      </c>
      <c r="E132" s="486">
        <f>IF(+J96&lt;F131,J96,D132)</f>
        <v>21282</v>
      </c>
      <c r="F132" s="485">
        <f t="shared" si="45"/>
        <v>211957</v>
      </c>
      <c r="G132" s="485">
        <f t="shared" si="46"/>
        <v>222598</v>
      </c>
      <c r="H132" s="488">
        <f t="shared" ref="H132:H154" si="51">+J$94*G132+E132</f>
        <v>45280.56769420264</v>
      </c>
      <c r="I132" s="542">
        <f t="shared" ref="I132:I154" si="52">+J$95*G132+E132</f>
        <v>45280.56769420264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31"/>
        <v/>
      </c>
      <c r="C133" s="472">
        <f>IF(D93="","-",+C132+1)</f>
        <v>2043</v>
      </c>
      <c r="D133" s="346">
        <f>IF(F132+SUM(E$99:E132)=D$92,F132,D$92-SUM(E$99:E132))</f>
        <v>211957</v>
      </c>
      <c r="E133" s="486">
        <f>IF(+J96&lt;F132,J96,D133)</f>
        <v>21282</v>
      </c>
      <c r="F133" s="485">
        <f t="shared" si="45"/>
        <v>190675</v>
      </c>
      <c r="G133" s="485">
        <f t="shared" si="46"/>
        <v>201316</v>
      </c>
      <c r="H133" s="488">
        <f t="shared" si="51"/>
        <v>42986.128760932712</v>
      </c>
      <c r="I133" s="542">
        <f t="shared" si="52"/>
        <v>42986.128760932712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31"/>
        <v/>
      </c>
      <c r="C134" s="472">
        <f>IF(D93="","-",+C133+1)</f>
        <v>2044</v>
      </c>
      <c r="D134" s="346">
        <f>IF(F133+SUM(E$99:E133)=D$92,F133,D$92-SUM(E$99:E133))</f>
        <v>190675</v>
      </c>
      <c r="E134" s="486">
        <f>IF(+J96&lt;F133,J96,D134)</f>
        <v>21282</v>
      </c>
      <c r="F134" s="485">
        <f t="shared" si="45"/>
        <v>169393</v>
      </c>
      <c r="G134" s="485">
        <f t="shared" si="46"/>
        <v>180034</v>
      </c>
      <c r="H134" s="488">
        <f t="shared" si="51"/>
        <v>40691.689827662776</v>
      </c>
      <c r="I134" s="542">
        <f t="shared" si="52"/>
        <v>40691.689827662776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31"/>
        <v/>
      </c>
      <c r="C135" s="472">
        <f>IF(D93="","-",+C134+1)</f>
        <v>2045</v>
      </c>
      <c r="D135" s="346">
        <f>IF(F134+SUM(E$99:E134)=D$92,F134,D$92-SUM(E$99:E134))</f>
        <v>169393</v>
      </c>
      <c r="E135" s="486">
        <f>IF(+J96&lt;F134,J96,D135)</f>
        <v>21282</v>
      </c>
      <c r="F135" s="485">
        <f t="shared" si="45"/>
        <v>148111</v>
      </c>
      <c r="G135" s="485">
        <f t="shared" si="46"/>
        <v>158752</v>
      </c>
      <c r="H135" s="488">
        <f t="shared" si="51"/>
        <v>38397.250894392841</v>
      </c>
      <c r="I135" s="542">
        <f t="shared" si="52"/>
        <v>38397.250894392841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31"/>
        <v/>
      </c>
      <c r="C136" s="472">
        <f>IF(D93="","-",+C135+1)</f>
        <v>2046</v>
      </c>
      <c r="D136" s="346">
        <f>IF(F135+SUM(E$99:E135)=D$92,F135,D$92-SUM(E$99:E135))</f>
        <v>148111</v>
      </c>
      <c r="E136" s="486">
        <f>IF(+J96&lt;F135,J96,D136)</f>
        <v>21282</v>
      </c>
      <c r="F136" s="485">
        <f t="shared" si="45"/>
        <v>126829</v>
      </c>
      <c r="G136" s="485">
        <f t="shared" si="46"/>
        <v>137470</v>
      </c>
      <c r="H136" s="488">
        <f t="shared" si="51"/>
        <v>36102.811961122905</v>
      </c>
      <c r="I136" s="542">
        <f t="shared" si="52"/>
        <v>36102.811961122905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31"/>
        <v/>
      </c>
      <c r="C137" s="472">
        <f>IF(D93="","-",+C136+1)</f>
        <v>2047</v>
      </c>
      <c r="D137" s="346">
        <f>IF(F136+SUM(E$99:E136)=D$92,F136,D$92-SUM(E$99:E136))</f>
        <v>126829</v>
      </c>
      <c r="E137" s="486">
        <f>IF(+J96&lt;F136,J96,D137)</f>
        <v>21282</v>
      </c>
      <c r="F137" s="485">
        <f t="shared" si="45"/>
        <v>105547</v>
      </c>
      <c r="G137" s="485">
        <f t="shared" si="46"/>
        <v>116188</v>
      </c>
      <c r="H137" s="488">
        <f t="shared" si="51"/>
        <v>33808.373027852977</v>
      </c>
      <c r="I137" s="542">
        <f t="shared" si="52"/>
        <v>33808.373027852977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31"/>
        <v/>
      </c>
      <c r="C138" s="472">
        <f>IF(D93="","-",+C137+1)</f>
        <v>2048</v>
      </c>
      <c r="D138" s="346">
        <f>IF(F137+SUM(E$99:E137)=D$92,F137,D$92-SUM(E$99:E137))</f>
        <v>105547</v>
      </c>
      <c r="E138" s="486">
        <f>IF(+J96&lt;F137,J96,D138)</f>
        <v>21282</v>
      </c>
      <c r="F138" s="485">
        <f t="shared" si="45"/>
        <v>84265</v>
      </c>
      <c r="G138" s="485">
        <f t="shared" si="46"/>
        <v>94906</v>
      </c>
      <c r="H138" s="488">
        <f t="shared" si="51"/>
        <v>31513.934094583041</v>
      </c>
      <c r="I138" s="542">
        <f t="shared" si="52"/>
        <v>31513.934094583041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31"/>
        <v/>
      </c>
      <c r="C139" s="472">
        <f>IF(D93="","-",+C138+1)</f>
        <v>2049</v>
      </c>
      <c r="D139" s="346">
        <f>IF(F138+SUM(E$99:E138)=D$92,F138,D$92-SUM(E$99:E138))</f>
        <v>84265</v>
      </c>
      <c r="E139" s="486">
        <f>IF(+J96&lt;F138,J96,D139)</f>
        <v>21282</v>
      </c>
      <c r="F139" s="485">
        <f t="shared" si="45"/>
        <v>62983</v>
      </c>
      <c r="G139" s="485">
        <f t="shared" si="46"/>
        <v>73624</v>
      </c>
      <c r="H139" s="488">
        <f t="shared" si="51"/>
        <v>29219.495161313109</v>
      </c>
      <c r="I139" s="542">
        <f t="shared" si="52"/>
        <v>29219.495161313109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31"/>
        <v/>
      </c>
      <c r="C140" s="472">
        <f>IF(D93="","-",+C139+1)</f>
        <v>2050</v>
      </c>
      <c r="D140" s="346">
        <f>IF(F139+SUM(E$99:E139)=D$92,F139,D$92-SUM(E$99:E139))</f>
        <v>62983</v>
      </c>
      <c r="E140" s="486">
        <f>IF(+J96&lt;F139,J96,D140)</f>
        <v>21282</v>
      </c>
      <c r="F140" s="485">
        <f t="shared" si="45"/>
        <v>41701</v>
      </c>
      <c r="G140" s="485">
        <f t="shared" si="46"/>
        <v>52342</v>
      </c>
      <c r="H140" s="488">
        <f t="shared" si="51"/>
        <v>26925.056228043177</v>
      </c>
      <c r="I140" s="542">
        <f t="shared" si="52"/>
        <v>26925.056228043177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31"/>
        <v/>
      </c>
      <c r="C141" s="472">
        <f>IF(D93="","-",+C140+1)</f>
        <v>2051</v>
      </c>
      <c r="D141" s="346">
        <f>IF(F140+SUM(E$99:E140)=D$92,F140,D$92-SUM(E$99:E140))</f>
        <v>41701</v>
      </c>
      <c r="E141" s="486">
        <f>IF(+J96&lt;F140,J96,D141)</f>
        <v>21282</v>
      </c>
      <c r="F141" s="485">
        <f t="shared" si="45"/>
        <v>20419</v>
      </c>
      <c r="G141" s="485">
        <f t="shared" si="46"/>
        <v>31060</v>
      </c>
      <c r="H141" s="488">
        <f t="shared" si="51"/>
        <v>24630.617294773241</v>
      </c>
      <c r="I141" s="542">
        <f t="shared" si="52"/>
        <v>24630.617294773241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31"/>
        <v/>
      </c>
      <c r="C142" s="472">
        <f>IF(D93="","-",+C141+1)</f>
        <v>2052</v>
      </c>
      <c r="D142" s="346">
        <f>IF(F141+SUM(E$99:E141)=D$92,F141,D$92-SUM(E$99:E141))</f>
        <v>20419</v>
      </c>
      <c r="E142" s="486">
        <f>IF(+J96&lt;F141,J96,D142)</f>
        <v>20419</v>
      </c>
      <c r="F142" s="485">
        <f t="shared" si="45"/>
        <v>0</v>
      </c>
      <c r="G142" s="485">
        <f t="shared" si="46"/>
        <v>10209.5</v>
      </c>
      <c r="H142" s="488">
        <f t="shared" si="51"/>
        <v>21519.698914069137</v>
      </c>
      <c r="I142" s="542">
        <f t="shared" si="52"/>
        <v>21519.698914069137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31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5"/>
        <v>0</v>
      </c>
      <c r="G143" s="485">
        <f t="shared" si="46"/>
        <v>0</v>
      </c>
      <c r="H143" s="488">
        <f t="shared" si="51"/>
        <v>0</v>
      </c>
      <c r="I143" s="542">
        <f t="shared" si="52"/>
        <v>0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31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8">
        <f t="shared" si="51"/>
        <v>0</v>
      </c>
      <c r="I144" s="542">
        <f t="shared" si="52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31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8">
        <f t="shared" si="51"/>
        <v>0</v>
      </c>
      <c r="I145" s="542">
        <f t="shared" si="52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31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8">
        <f t="shared" si="51"/>
        <v>0</v>
      </c>
      <c r="I146" s="542">
        <f t="shared" si="52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31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8">
        <f t="shared" si="51"/>
        <v>0</v>
      </c>
      <c r="I147" s="542">
        <f t="shared" si="52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31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8">
        <f t="shared" si="51"/>
        <v>0</v>
      </c>
      <c r="I148" s="542">
        <f t="shared" si="52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31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8">
        <f t="shared" si="51"/>
        <v>0</v>
      </c>
      <c r="I149" s="542">
        <f t="shared" si="52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31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8">
        <f t="shared" si="51"/>
        <v>0</v>
      </c>
      <c r="I150" s="542">
        <f t="shared" si="52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31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8">
        <f t="shared" si="51"/>
        <v>0</v>
      </c>
      <c r="I151" s="542">
        <f t="shared" si="52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31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8">
        <f t="shared" si="51"/>
        <v>0</v>
      </c>
      <c r="I152" s="542">
        <f t="shared" si="52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31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8">
        <f t="shared" si="51"/>
        <v>0</v>
      </c>
      <c r="I153" s="542">
        <f t="shared" si="52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31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2">
        <f t="shared" si="51"/>
        <v>0</v>
      </c>
      <c r="I154" s="545">
        <f t="shared" si="52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6" t="s">
        <v>77</v>
      </c>
      <c r="D155" s="347"/>
      <c r="E155" s="347">
        <f>SUM(E99:E154)</f>
        <v>893858</v>
      </c>
      <c r="F155" s="347"/>
      <c r="G155" s="347"/>
      <c r="H155" s="347">
        <f>SUM(H99:H154)</f>
        <v>3276767.0553466505</v>
      </c>
      <c r="I155" s="347">
        <f>SUM(I99:I154)</f>
        <v>3276767.0553466505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48" t="s">
        <v>145</v>
      </c>
    </row>
  </sheetData>
  <phoneticPr fontId="0" type="noConversion"/>
  <conditionalFormatting sqref="C17:C72">
    <cfRule type="cellIs" dxfId="66" priority="1" stopIfTrue="1" operator="equal">
      <formula>$I$10</formula>
    </cfRule>
  </conditionalFormatting>
  <conditionalFormatting sqref="C99:C154">
    <cfRule type="cellIs" dxfId="6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0"/>
  <dimension ref="A1:P162"/>
  <sheetViews>
    <sheetView view="pageBreakPreview" zoomScale="75" zoomScaleNormal="100" workbookViewId="0">
      <selection activeCell="G24" sqref="G2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2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470894.83739416272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470894.83739416272</v>
      </c>
      <c r="O6" s="232"/>
      <c r="P6" s="232"/>
    </row>
    <row r="7" spans="1:16" ht="13.5" thickBot="1">
      <c r="C7" s="431" t="s">
        <v>46</v>
      </c>
      <c r="D7" s="432" t="s">
        <v>210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80</v>
      </c>
      <c r="E9" s="577" t="s">
        <v>353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4688896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111640.38095238095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C17" s="472">
        <f>IF(D11= "","-",D11)</f>
        <v>2009</v>
      </c>
      <c r="D17" s="473">
        <v>6704177</v>
      </c>
      <c r="E17" s="474">
        <v>73788</v>
      </c>
      <c r="F17" s="473">
        <v>6630389</v>
      </c>
      <c r="G17" s="474">
        <v>750999</v>
      </c>
      <c r="H17" s="474">
        <v>750999</v>
      </c>
      <c r="I17" s="475">
        <f t="shared" ref="I17:I48" si="0">H17-G17</f>
        <v>0</v>
      </c>
      <c r="J17" s="475"/>
      <c r="K17" s="476">
        <v>750999</v>
      </c>
      <c r="L17" s="477">
        <f t="shared" ref="L17:L48" si="1">IF(K17&lt;&gt;0,+G17-K17,0)</f>
        <v>0</v>
      </c>
      <c r="M17" s="476">
        <v>750999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2010</v>
      </c>
      <c r="D18" s="479">
        <v>4651603</v>
      </c>
      <c r="E18" s="480">
        <v>84382</v>
      </c>
      <c r="F18" s="479">
        <v>4567221</v>
      </c>
      <c r="G18" s="480">
        <v>743416</v>
      </c>
      <c r="H18" s="481">
        <v>743416</v>
      </c>
      <c r="I18" s="475">
        <f t="shared" si="0"/>
        <v>0</v>
      </c>
      <c r="J18" s="475"/>
      <c r="K18" s="476">
        <f t="shared" ref="K18:K23" si="4">G18</f>
        <v>743416</v>
      </c>
      <c r="L18" s="550">
        <f t="shared" si="1"/>
        <v>0</v>
      </c>
      <c r="M18" s="476">
        <f t="shared" ref="M18:M23" si="5">H18</f>
        <v>743416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2011</v>
      </c>
      <c r="D19" s="479">
        <v>4530726</v>
      </c>
      <c r="E19" s="480">
        <v>91939.137254901958</v>
      </c>
      <c r="F19" s="479">
        <v>4438786.8627450978</v>
      </c>
      <c r="G19" s="480">
        <v>786801.66702531651</v>
      </c>
      <c r="H19" s="481">
        <v>786801.66702531651</v>
      </c>
      <c r="I19" s="475">
        <f t="shared" si="0"/>
        <v>0</v>
      </c>
      <c r="J19" s="475"/>
      <c r="K19" s="476">
        <f t="shared" si="4"/>
        <v>786801.66702531651</v>
      </c>
      <c r="L19" s="550">
        <f t="shared" si="1"/>
        <v>0</v>
      </c>
      <c r="M19" s="476">
        <f t="shared" si="5"/>
        <v>786801.66702531651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4438786.8627450978</v>
      </c>
      <c r="E20" s="480">
        <v>90171.076923076922</v>
      </c>
      <c r="F20" s="479">
        <v>4348615.7858220208</v>
      </c>
      <c r="G20" s="480">
        <v>695527.67751323315</v>
      </c>
      <c r="H20" s="481">
        <v>695527.67751323315</v>
      </c>
      <c r="I20" s="475">
        <f t="shared" si="0"/>
        <v>0</v>
      </c>
      <c r="J20" s="475"/>
      <c r="K20" s="476">
        <f t="shared" si="4"/>
        <v>695527.67751323315</v>
      </c>
      <c r="L20" s="550">
        <f t="shared" si="1"/>
        <v>0</v>
      </c>
      <c r="M20" s="476">
        <f t="shared" si="5"/>
        <v>695527.67751323315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6"/>
        <v/>
      </c>
      <c r="C21" s="472">
        <f>IF(D12="","-",+C20+1)</f>
        <v>2013</v>
      </c>
      <c r="D21" s="479">
        <v>4348615.7858220208</v>
      </c>
      <c r="E21" s="480">
        <v>90171.076923076922</v>
      </c>
      <c r="F21" s="479">
        <v>4258444.7088989438</v>
      </c>
      <c r="G21" s="480">
        <v>698305.7699783385</v>
      </c>
      <c r="H21" s="481">
        <v>698305.7699783385</v>
      </c>
      <c r="I21" s="475">
        <v>0</v>
      </c>
      <c r="J21" s="475"/>
      <c r="K21" s="476">
        <f t="shared" si="4"/>
        <v>698305.7699783385</v>
      </c>
      <c r="L21" s="550">
        <f t="shared" ref="L21:L26" si="7">IF(K21&lt;&gt;0,+G21-K21,0)</f>
        <v>0</v>
      </c>
      <c r="M21" s="476">
        <f t="shared" si="5"/>
        <v>698305.7699783385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>
      <c r="B22" s="160" t="str">
        <f t="shared" si="6"/>
        <v/>
      </c>
      <c r="C22" s="472">
        <f>IF(D11="","-",+C21+1)</f>
        <v>2014</v>
      </c>
      <c r="D22" s="479">
        <v>4258444.7088989438</v>
      </c>
      <c r="E22" s="480">
        <v>90171.076923076922</v>
      </c>
      <c r="F22" s="479">
        <v>4168273.6319758669</v>
      </c>
      <c r="G22" s="480">
        <v>663970.48849892756</v>
      </c>
      <c r="H22" s="481">
        <v>663970.48849892756</v>
      </c>
      <c r="I22" s="475">
        <v>0</v>
      </c>
      <c r="J22" s="475"/>
      <c r="K22" s="476">
        <f t="shared" si="4"/>
        <v>663970.48849892756</v>
      </c>
      <c r="L22" s="550">
        <f t="shared" si="7"/>
        <v>0</v>
      </c>
      <c r="M22" s="476">
        <f t="shared" si="5"/>
        <v>663970.48849892756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/>
      </c>
      <c r="C23" s="472">
        <f>IF(D11="","-",+C22+1)</f>
        <v>2015</v>
      </c>
      <c r="D23" s="479">
        <v>4168273.6319758669</v>
      </c>
      <c r="E23" s="480">
        <v>90171.076923076922</v>
      </c>
      <c r="F23" s="479">
        <v>4078102.5550527899</v>
      </c>
      <c r="G23" s="480">
        <v>652425.83265151177</v>
      </c>
      <c r="H23" s="481">
        <v>652425.83265151177</v>
      </c>
      <c r="I23" s="475">
        <v>0</v>
      </c>
      <c r="J23" s="475"/>
      <c r="K23" s="476">
        <f t="shared" si="4"/>
        <v>652425.83265151177</v>
      </c>
      <c r="L23" s="550">
        <f t="shared" si="7"/>
        <v>0</v>
      </c>
      <c r="M23" s="476">
        <f t="shared" si="5"/>
        <v>652425.83265151177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2016</v>
      </c>
      <c r="D24" s="479">
        <v>4078102.5550527899</v>
      </c>
      <c r="E24" s="480">
        <v>90171.076923076922</v>
      </c>
      <c r="F24" s="479">
        <v>3987931.4781297129</v>
      </c>
      <c r="G24" s="480">
        <v>613226.71011811122</v>
      </c>
      <c r="H24" s="481">
        <v>613226.71011811122</v>
      </c>
      <c r="I24" s="475">
        <f t="shared" si="0"/>
        <v>0</v>
      </c>
      <c r="J24" s="475"/>
      <c r="K24" s="476">
        <f t="shared" ref="K24:K29" si="10">G24</f>
        <v>613226.71011811122</v>
      </c>
      <c r="L24" s="550">
        <f t="shared" si="7"/>
        <v>0</v>
      </c>
      <c r="M24" s="476">
        <f t="shared" ref="M24:M29" si="11">H24</f>
        <v>613226.71011811122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2017</v>
      </c>
      <c r="D25" s="479">
        <v>3987931.4781297129</v>
      </c>
      <c r="E25" s="480">
        <v>101932.52173913043</v>
      </c>
      <c r="F25" s="479">
        <v>3885998.9563905825</v>
      </c>
      <c r="G25" s="480">
        <v>596467.29312714399</v>
      </c>
      <c r="H25" s="481">
        <v>596467.29312714399</v>
      </c>
      <c r="I25" s="475">
        <f t="shared" si="0"/>
        <v>0</v>
      </c>
      <c r="J25" s="551"/>
      <c r="K25" s="476">
        <f t="shared" si="10"/>
        <v>596467.29312714399</v>
      </c>
      <c r="L25" s="550">
        <f t="shared" si="7"/>
        <v>0</v>
      </c>
      <c r="M25" s="476">
        <f t="shared" si="11"/>
        <v>596467.29312714399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2018</v>
      </c>
      <c r="D26" s="479">
        <v>3885998.9563905825</v>
      </c>
      <c r="E26" s="480">
        <v>104197.68888888889</v>
      </c>
      <c r="F26" s="479">
        <v>3781801.2675016937</v>
      </c>
      <c r="G26" s="480">
        <v>563341.50507496181</v>
      </c>
      <c r="H26" s="481">
        <v>563341.50507496181</v>
      </c>
      <c r="I26" s="475">
        <f t="shared" si="0"/>
        <v>0</v>
      </c>
      <c r="J26" s="551"/>
      <c r="K26" s="476">
        <f t="shared" si="10"/>
        <v>563341.50507496181</v>
      </c>
      <c r="L26" s="550">
        <f t="shared" si="7"/>
        <v>0</v>
      </c>
      <c r="M26" s="476">
        <f t="shared" si="11"/>
        <v>563341.50507496181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2019</v>
      </c>
      <c r="D27" s="479">
        <v>3781801.2675016937</v>
      </c>
      <c r="E27" s="480">
        <v>117222.39999999999</v>
      </c>
      <c r="F27" s="479">
        <v>3664578.8675016938</v>
      </c>
      <c r="G27" s="480">
        <v>532941.26061774243</v>
      </c>
      <c r="H27" s="481">
        <v>532941.26061774243</v>
      </c>
      <c r="I27" s="475">
        <f t="shared" si="0"/>
        <v>0</v>
      </c>
      <c r="J27" s="552"/>
      <c r="K27" s="476">
        <f t="shared" si="10"/>
        <v>532941.26061774243</v>
      </c>
      <c r="L27" s="550">
        <f t="shared" ref="L27" si="12">IF(K27&lt;&gt;0,+G27-K27,0)</f>
        <v>0</v>
      </c>
      <c r="M27" s="476">
        <f t="shared" si="11"/>
        <v>532941.26061774243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>
      <c r="B28" s="160" t="str">
        <f t="shared" si="6"/>
        <v>IU</v>
      </c>
      <c r="C28" s="472">
        <f>IF(D11="","-",+C27+1)</f>
        <v>2020</v>
      </c>
      <c r="D28" s="479">
        <v>3677603.5786128049</v>
      </c>
      <c r="E28" s="480">
        <v>111640.38095238095</v>
      </c>
      <c r="F28" s="479">
        <v>3565963.1976604238</v>
      </c>
      <c r="G28" s="480">
        <v>502810.28780425031</v>
      </c>
      <c r="H28" s="481">
        <v>502810.28780425031</v>
      </c>
      <c r="I28" s="475">
        <f t="shared" si="0"/>
        <v>0</v>
      </c>
      <c r="J28" s="475"/>
      <c r="K28" s="476">
        <f t="shared" si="10"/>
        <v>502810.28780425031</v>
      </c>
      <c r="L28" s="550">
        <f t="shared" ref="L28" si="15">IF(K28&lt;&gt;0,+G28-K28,0)</f>
        <v>0</v>
      </c>
      <c r="M28" s="476">
        <f t="shared" si="11"/>
        <v>502810.28780425031</v>
      </c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6"/>
        <v>IU</v>
      </c>
      <c r="C29" s="472">
        <f>IF(D11="","-",+C28+1)</f>
        <v>2021</v>
      </c>
      <c r="D29" s="479">
        <v>3552938.4865493132</v>
      </c>
      <c r="E29" s="480">
        <v>109044.09302325582</v>
      </c>
      <c r="F29" s="479">
        <v>3443894.3935260572</v>
      </c>
      <c r="G29" s="480">
        <v>480370.47549623175</v>
      </c>
      <c r="H29" s="481">
        <v>480370.47549623175</v>
      </c>
      <c r="I29" s="475">
        <f t="shared" si="0"/>
        <v>0</v>
      </c>
      <c r="J29" s="475"/>
      <c r="K29" s="476">
        <f t="shared" si="10"/>
        <v>480370.47549623175</v>
      </c>
      <c r="L29" s="550">
        <f t="shared" ref="L29" si="16">IF(K29&lt;&gt;0,+G29-K29,0)</f>
        <v>0</v>
      </c>
      <c r="M29" s="476">
        <f t="shared" si="11"/>
        <v>480370.47549623175</v>
      </c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6"/>
        <v/>
      </c>
      <c r="C30" s="472">
        <f>IF(D11="","-",+C29+1)</f>
        <v>2022</v>
      </c>
      <c r="D30" s="485">
        <f>IF(F29+SUM(E$17:E29)=D$10,F29,D$10-SUM(E$17:E29))</f>
        <v>3443894.3935260572</v>
      </c>
      <c r="E30" s="484">
        <f>IF(+I14&lt;F29,I14,D30)</f>
        <v>111640.38095238095</v>
      </c>
      <c r="F30" s="485">
        <f t="shared" ref="F30:F48" si="17">+D30-E30</f>
        <v>3332254.0125736762</v>
      </c>
      <c r="G30" s="486">
        <f t="shared" ref="G30:G72" si="18">+I$12*F30+E30</f>
        <v>470894.83739416272</v>
      </c>
      <c r="H30" s="455">
        <f t="shared" ref="H30:H72" si="19">+I$13*F30+E30</f>
        <v>470894.83739416272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3332254.0125736762</v>
      </c>
      <c r="E31" s="484">
        <f>IF(+I14&lt;F30,I14,D31)</f>
        <v>111640.38095238095</v>
      </c>
      <c r="F31" s="485">
        <f t="shared" si="17"/>
        <v>3220613.6316212951</v>
      </c>
      <c r="G31" s="486">
        <f t="shared" si="18"/>
        <v>458858.74884129036</v>
      </c>
      <c r="H31" s="455">
        <f t="shared" si="19"/>
        <v>458858.74884129036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3220613.6316212951</v>
      </c>
      <c r="E32" s="484">
        <f>IF(+I14&lt;F31,I14,D32)</f>
        <v>111640.38095238095</v>
      </c>
      <c r="F32" s="485">
        <f t="shared" si="17"/>
        <v>3108973.2506689141</v>
      </c>
      <c r="G32" s="486">
        <f t="shared" si="18"/>
        <v>446822.66028841794</v>
      </c>
      <c r="H32" s="455">
        <f t="shared" si="19"/>
        <v>446822.66028841794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3108973.2506689141</v>
      </c>
      <c r="E33" s="484">
        <f>IF(+I14&lt;F32,I14,D33)</f>
        <v>111640.38095238095</v>
      </c>
      <c r="F33" s="485">
        <f t="shared" si="17"/>
        <v>2997332.869716533</v>
      </c>
      <c r="G33" s="486">
        <f t="shared" si="18"/>
        <v>434786.57173554559</v>
      </c>
      <c r="H33" s="455">
        <f t="shared" si="19"/>
        <v>434786.57173554559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2997332.869716533</v>
      </c>
      <c r="E34" s="484">
        <f>IF(+I14&lt;F33,I14,D34)</f>
        <v>111640.38095238095</v>
      </c>
      <c r="F34" s="485">
        <f t="shared" si="17"/>
        <v>2885692.4887641519</v>
      </c>
      <c r="G34" s="486">
        <f t="shared" si="18"/>
        <v>422750.48318267317</v>
      </c>
      <c r="H34" s="455">
        <f t="shared" si="19"/>
        <v>422750.48318267317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2885692.4887641519</v>
      </c>
      <c r="E35" s="484">
        <f>IF(+I14&lt;F34,I14,D35)</f>
        <v>111640.38095238095</v>
      </c>
      <c r="F35" s="485">
        <f t="shared" si="17"/>
        <v>2774052.1078117709</v>
      </c>
      <c r="G35" s="486">
        <f t="shared" si="18"/>
        <v>410714.39462980081</v>
      </c>
      <c r="H35" s="455">
        <f t="shared" si="19"/>
        <v>410714.39462980081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2774052.1078117709</v>
      </c>
      <c r="E36" s="484">
        <f>IF(+I14&lt;F35,I14,D36)</f>
        <v>111640.38095238095</v>
      </c>
      <c r="F36" s="485">
        <f t="shared" si="17"/>
        <v>2662411.7268593898</v>
      </c>
      <c r="G36" s="486">
        <f t="shared" si="18"/>
        <v>398678.30607692839</v>
      </c>
      <c r="H36" s="455">
        <f t="shared" si="19"/>
        <v>398678.30607692839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2662411.7268593898</v>
      </c>
      <c r="E37" s="484">
        <f>IF(+I14&lt;F36,I14,D37)</f>
        <v>111640.38095238095</v>
      </c>
      <c r="F37" s="485">
        <f t="shared" si="17"/>
        <v>2550771.3459070087</v>
      </c>
      <c r="G37" s="486">
        <f t="shared" si="18"/>
        <v>386642.21752405603</v>
      </c>
      <c r="H37" s="455">
        <f t="shared" si="19"/>
        <v>386642.21752405603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2550771.3459070087</v>
      </c>
      <c r="E38" s="484">
        <f>IF(+I14&lt;F37,I14,D38)</f>
        <v>111640.38095238095</v>
      </c>
      <c r="F38" s="485">
        <f t="shared" si="17"/>
        <v>2439130.9649546277</v>
      </c>
      <c r="G38" s="486">
        <f t="shared" si="18"/>
        <v>374606.12897118361</v>
      </c>
      <c r="H38" s="455">
        <f t="shared" si="19"/>
        <v>374606.12897118361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2439130.9649546277</v>
      </c>
      <c r="E39" s="484">
        <f>IF(+I14&lt;F38,I14,D39)</f>
        <v>111640.38095238095</v>
      </c>
      <c r="F39" s="485">
        <f t="shared" si="17"/>
        <v>2327490.5840022466</v>
      </c>
      <c r="G39" s="486">
        <f t="shared" si="18"/>
        <v>362570.04041831126</v>
      </c>
      <c r="H39" s="455">
        <f t="shared" si="19"/>
        <v>362570.04041831126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2327490.5840022466</v>
      </c>
      <c r="E40" s="484">
        <f>IF(+I14&lt;F39,I14,D40)</f>
        <v>111640.38095238095</v>
      </c>
      <c r="F40" s="485">
        <f t="shared" si="17"/>
        <v>2215850.2030498656</v>
      </c>
      <c r="G40" s="486">
        <f t="shared" si="18"/>
        <v>350533.95186543884</v>
      </c>
      <c r="H40" s="455">
        <f t="shared" si="19"/>
        <v>350533.95186543884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2215850.2030498656</v>
      </c>
      <c r="E41" s="484">
        <f>IF(+I14&lt;F40,I14,D41)</f>
        <v>111640.38095238095</v>
      </c>
      <c r="F41" s="485">
        <f t="shared" si="17"/>
        <v>2104209.8220974845</v>
      </c>
      <c r="G41" s="486">
        <f t="shared" si="18"/>
        <v>338497.86331256648</v>
      </c>
      <c r="H41" s="455">
        <f t="shared" si="19"/>
        <v>338497.86331256648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2104209.8220974845</v>
      </c>
      <c r="E42" s="484">
        <f>IF(+I14&lt;F41,I14,D42)</f>
        <v>111640.38095238095</v>
      </c>
      <c r="F42" s="485">
        <f t="shared" si="17"/>
        <v>1992569.4411451034</v>
      </c>
      <c r="G42" s="486">
        <f t="shared" si="18"/>
        <v>326461.77475969412</v>
      </c>
      <c r="H42" s="455">
        <f t="shared" si="19"/>
        <v>326461.77475969412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1992569.4411451034</v>
      </c>
      <c r="E43" s="484">
        <f>IF(+I14&lt;F42,I14,D43)</f>
        <v>111640.38095238095</v>
      </c>
      <c r="F43" s="485">
        <f t="shared" si="17"/>
        <v>1880929.0601927224</v>
      </c>
      <c r="G43" s="486">
        <f t="shared" si="18"/>
        <v>314425.6862068217</v>
      </c>
      <c r="H43" s="455">
        <f t="shared" si="19"/>
        <v>314425.6862068217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1880929.0601927224</v>
      </c>
      <c r="E44" s="484">
        <f>IF(+I14&lt;F43,I14,D44)</f>
        <v>111640.38095238095</v>
      </c>
      <c r="F44" s="485">
        <f t="shared" si="17"/>
        <v>1769288.6792403413</v>
      </c>
      <c r="G44" s="486">
        <f t="shared" si="18"/>
        <v>302389.59765394928</v>
      </c>
      <c r="H44" s="455">
        <f t="shared" si="19"/>
        <v>302389.59765394928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1769288.6792403413</v>
      </c>
      <c r="E45" s="484">
        <f>IF(+I14&lt;F44,I14,D45)</f>
        <v>111640.38095238095</v>
      </c>
      <c r="F45" s="485">
        <f t="shared" si="17"/>
        <v>1657648.2982879602</v>
      </c>
      <c r="G45" s="486">
        <f t="shared" si="18"/>
        <v>290353.50910107692</v>
      </c>
      <c r="H45" s="455">
        <f t="shared" si="19"/>
        <v>290353.50910107692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1657648.2982879602</v>
      </c>
      <c r="E46" s="484">
        <f>IF(+I14&lt;F45,I14,D46)</f>
        <v>111640.38095238095</v>
      </c>
      <c r="F46" s="485">
        <f t="shared" si="17"/>
        <v>1546007.9173355792</v>
      </c>
      <c r="G46" s="486">
        <f t="shared" si="18"/>
        <v>278317.42054820457</v>
      </c>
      <c r="H46" s="455">
        <f t="shared" si="19"/>
        <v>278317.42054820457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1546007.9173355792</v>
      </c>
      <c r="E47" s="484">
        <f>IF(+I14&lt;F46,I14,D47)</f>
        <v>111640.38095238095</v>
      </c>
      <c r="F47" s="485">
        <f t="shared" si="17"/>
        <v>1434367.5363831981</v>
      </c>
      <c r="G47" s="486">
        <f t="shared" si="18"/>
        <v>266281.33199533215</v>
      </c>
      <c r="H47" s="455">
        <f t="shared" si="19"/>
        <v>266281.33199533215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1434367.5363831981</v>
      </c>
      <c r="E48" s="484">
        <f>IF(+I14&lt;F47,I14,D48)</f>
        <v>111640.38095238095</v>
      </c>
      <c r="F48" s="485">
        <f t="shared" si="17"/>
        <v>1322727.155430817</v>
      </c>
      <c r="G48" s="486">
        <f t="shared" si="18"/>
        <v>254245.24344245976</v>
      </c>
      <c r="H48" s="455">
        <f t="shared" si="19"/>
        <v>254245.24344245976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1322727.155430817</v>
      </c>
      <c r="E49" s="484">
        <f>IF(+I14&lt;F48,I14,D49)</f>
        <v>111640.38095238095</v>
      </c>
      <c r="F49" s="485">
        <f t="shared" ref="F49:F72" si="20">+D49-E49</f>
        <v>1211086.774478436</v>
      </c>
      <c r="G49" s="486">
        <f t="shared" si="18"/>
        <v>242209.15488958737</v>
      </c>
      <c r="H49" s="455">
        <f t="shared" si="19"/>
        <v>242209.15488958737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1211086.774478436</v>
      </c>
      <c r="E50" s="484">
        <f>IF(+I14&lt;F49,I14,D50)</f>
        <v>111640.38095238095</v>
      </c>
      <c r="F50" s="485">
        <f t="shared" si="20"/>
        <v>1099446.3935260549</v>
      </c>
      <c r="G50" s="486">
        <f t="shared" si="18"/>
        <v>230173.06633671495</v>
      </c>
      <c r="H50" s="455">
        <f t="shared" si="19"/>
        <v>230173.06633671495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1099446.3935260549</v>
      </c>
      <c r="E51" s="484">
        <f>IF(+I14&lt;F50,I14,D51)</f>
        <v>111640.38095238095</v>
      </c>
      <c r="F51" s="485">
        <f t="shared" si="20"/>
        <v>987806.01257367397</v>
      </c>
      <c r="G51" s="486">
        <f t="shared" si="18"/>
        <v>218136.97778384259</v>
      </c>
      <c r="H51" s="455">
        <f t="shared" si="19"/>
        <v>218136.97778384259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987806.01257367397</v>
      </c>
      <c r="E52" s="484">
        <f>IF(+I14&lt;F51,I14,D52)</f>
        <v>111640.38095238095</v>
      </c>
      <c r="F52" s="485">
        <f t="shared" si="20"/>
        <v>876165.63162129303</v>
      </c>
      <c r="G52" s="486">
        <f t="shared" si="18"/>
        <v>206100.88923097024</v>
      </c>
      <c r="H52" s="455">
        <f t="shared" si="19"/>
        <v>206100.88923097024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876165.63162129303</v>
      </c>
      <c r="E53" s="484">
        <f>IF(+I14&lt;F52,I14,D53)</f>
        <v>111640.38095238095</v>
      </c>
      <c r="F53" s="485">
        <f t="shared" si="20"/>
        <v>764525.25066891208</v>
      </c>
      <c r="G53" s="486">
        <f t="shared" si="18"/>
        <v>194064.80067809785</v>
      </c>
      <c r="H53" s="455">
        <f t="shared" si="19"/>
        <v>194064.80067809785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764525.25066891208</v>
      </c>
      <c r="E54" s="484">
        <f>IF(+I14&lt;F53,I14,D54)</f>
        <v>111640.38095238095</v>
      </c>
      <c r="F54" s="485">
        <f t="shared" si="20"/>
        <v>652884.86971653113</v>
      </c>
      <c r="G54" s="486">
        <f t="shared" si="18"/>
        <v>182028.71212522546</v>
      </c>
      <c r="H54" s="455">
        <f t="shared" si="19"/>
        <v>182028.71212522546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652884.86971653113</v>
      </c>
      <c r="E55" s="484">
        <f>IF(+I14&lt;F54,I14,D55)</f>
        <v>111640.38095238095</v>
      </c>
      <c r="F55" s="485">
        <f t="shared" si="20"/>
        <v>541244.48876415018</v>
      </c>
      <c r="G55" s="486">
        <f t="shared" si="18"/>
        <v>169992.6235723531</v>
      </c>
      <c r="H55" s="455">
        <f t="shared" si="19"/>
        <v>169992.6235723531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541244.48876415018</v>
      </c>
      <c r="E56" s="484">
        <f>IF(+I14&lt;F55,I14,D56)</f>
        <v>111640.38095238095</v>
      </c>
      <c r="F56" s="485">
        <f t="shared" si="20"/>
        <v>429604.10781176924</v>
      </c>
      <c r="G56" s="486">
        <f t="shared" si="18"/>
        <v>157956.53501948071</v>
      </c>
      <c r="H56" s="455">
        <f t="shared" si="19"/>
        <v>157956.53501948071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429604.10781176924</v>
      </c>
      <c r="E57" s="484">
        <f>IF(+I14&lt;F56,I14,D57)</f>
        <v>111640.38095238095</v>
      </c>
      <c r="F57" s="485">
        <f t="shared" si="20"/>
        <v>317963.72685938829</v>
      </c>
      <c r="G57" s="486">
        <f t="shared" si="18"/>
        <v>145920.44646660832</v>
      </c>
      <c r="H57" s="455">
        <f t="shared" si="19"/>
        <v>145920.44646660832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317963.72685938829</v>
      </c>
      <c r="E58" s="484">
        <f>IF(+I14&lt;F57,I14,D58)</f>
        <v>111640.38095238095</v>
      </c>
      <c r="F58" s="485">
        <f t="shared" si="20"/>
        <v>206323.34590700734</v>
      </c>
      <c r="G58" s="486">
        <f t="shared" si="18"/>
        <v>133884.35791373596</v>
      </c>
      <c r="H58" s="455">
        <f t="shared" si="19"/>
        <v>133884.35791373596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206323.34590700734</v>
      </c>
      <c r="E59" s="484">
        <f>IF(+I14&lt;F58,I14,D59)</f>
        <v>111640.38095238095</v>
      </c>
      <c r="F59" s="485">
        <f t="shared" si="20"/>
        <v>94682.964954626397</v>
      </c>
      <c r="G59" s="486">
        <f t="shared" si="18"/>
        <v>121848.26936086359</v>
      </c>
      <c r="H59" s="455">
        <f t="shared" si="19"/>
        <v>121848.26936086359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94682.964954626397</v>
      </c>
      <c r="E60" s="484">
        <f>IF(+I14&lt;F59,I14,D60)</f>
        <v>94682.964954626397</v>
      </c>
      <c r="F60" s="485">
        <f t="shared" si="20"/>
        <v>0</v>
      </c>
      <c r="G60" s="486">
        <f t="shared" si="18"/>
        <v>94682.964954626397</v>
      </c>
      <c r="H60" s="455">
        <f t="shared" si="19"/>
        <v>94682.964954626397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0</v>
      </c>
      <c r="E61" s="484">
        <f>IF(+I14&lt;F60,I14,D61)</f>
        <v>0</v>
      </c>
      <c r="F61" s="485">
        <f t="shared" si="20"/>
        <v>0</v>
      </c>
      <c r="G61" s="488">
        <f t="shared" si="18"/>
        <v>0</v>
      </c>
      <c r="H61" s="455">
        <f t="shared" si="19"/>
        <v>0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>
      <c r="C73" s="346" t="s">
        <v>77</v>
      </c>
      <c r="D73" s="347"/>
      <c r="E73" s="347">
        <f>SUM(E17:E72)</f>
        <v>4688896</v>
      </c>
      <c r="F73" s="347"/>
      <c r="G73" s="347">
        <f>SUM(G17:G72)</f>
        <v>17266433.53418579</v>
      </c>
      <c r="H73" s="347">
        <f>SUM(H17:H72)</f>
        <v>17266433.53418579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2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502810.28780425031</v>
      </c>
      <c r="N87" s="508">
        <f>IF(J92&lt;D11,0,VLOOKUP(J92,C17:O72,11))</f>
        <v>502810.28780425031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525853.2624876654</v>
      </c>
      <c r="N88" s="512">
        <f>IF(J92&lt;D11,0,VLOOKUP(J92,C99:P154,7))</f>
        <v>525853.2624876654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Craig Jct. to Broken Bow Dam 138 Rebuild (7.7mi)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23042.974683415086</v>
      </c>
      <c r="N89" s="517">
        <f>+N88-N87</f>
        <v>23042.974683415086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TP2007059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4688896.139999995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111640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49223</v>
      </c>
      <c r="F99" s="479">
        <v>4676168</v>
      </c>
      <c r="G99" s="537">
        <v>2338084</v>
      </c>
      <c r="H99" s="538">
        <v>391070</v>
      </c>
      <c r="I99" s="539">
        <v>391070</v>
      </c>
      <c r="J99" s="478">
        <f t="shared" ref="J99:J130" si="25">+I99-H99</f>
        <v>0</v>
      </c>
      <c r="K99" s="478"/>
      <c r="L99" s="476">
        <f t="shared" ref="L99:L104" si="26">H99</f>
        <v>391070</v>
      </c>
      <c r="M99" s="477">
        <f t="shared" ref="M99:M130" si="27">IF(L99&lt;&gt;0,+H99-L99,0)</f>
        <v>0</v>
      </c>
      <c r="N99" s="476">
        <f t="shared" ref="N99:N104" si="28">I99</f>
        <v>391070</v>
      </c>
      <c r="O99" s="477">
        <f t="shared" ref="O99:O130" si="29">IF(N99&lt;&gt;0,+I99-N99,0)</f>
        <v>0</v>
      </c>
      <c r="P99" s="477">
        <f t="shared" ref="P99:P130" si="30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4639673.1399999997</v>
      </c>
      <c r="E100" s="480">
        <v>91939</v>
      </c>
      <c r="F100" s="479">
        <v>4547734.1399999997</v>
      </c>
      <c r="G100" s="479">
        <v>4593703.6399999997</v>
      </c>
      <c r="H100" s="480">
        <v>830676.46951907186</v>
      </c>
      <c r="I100" s="481">
        <v>830676.46951907186</v>
      </c>
      <c r="J100" s="478">
        <f t="shared" si="25"/>
        <v>0</v>
      </c>
      <c r="K100" s="478"/>
      <c r="L100" s="540">
        <f t="shared" si="26"/>
        <v>830676.46951907186</v>
      </c>
      <c r="M100" s="541">
        <f t="shared" si="27"/>
        <v>0</v>
      </c>
      <c r="N100" s="540">
        <f t="shared" si="28"/>
        <v>830676.46951907186</v>
      </c>
      <c r="O100" s="478">
        <f t="shared" si="29"/>
        <v>0</v>
      </c>
      <c r="P100" s="478">
        <f t="shared" si="30"/>
        <v>0</v>
      </c>
    </row>
    <row r="101" spans="1:16">
      <c r="B101" s="160" t="str">
        <f t="shared" ref="B101:B154" si="31">IF(D101=F100,"","IU")</f>
        <v/>
      </c>
      <c r="C101" s="482">
        <f>IF(D93="","-",+C100+1)</f>
        <v>2011</v>
      </c>
      <c r="D101" s="473">
        <v>4547734.1399999997</v>
      </c>
      <c r="E101" s="480">
        <v>90171</v>
      </c>
      <c r="F101" s="479">
        <v>4457563.1399999997</v>
      </c>
      <c r="G101" s="479">
        <v>4502648.6399999997</v>
      </c>
      <c r="H101" s="480">
        <v>719701.78616364778</v>
      </c>
      <c r="I101" s="481">
        <v>719701.78616364778</v>
      </c>
      <c r="J101" s="478">
        <f t="shared" si="25"/>
        <v>0</v>
      </c>
      <c r="K101" s="478"/>
      <c r="L101" s="540">
        <f t="shared" si="26"/>
        <v>719701.78616364778</v>
      </c>
      <c r="M101" s="541">
        <f t="shared" si="27"/>
        <v>0</v>
      </c>
      <c r="N101" s="540">
        <f t="shared" si="28"/>
        <v>719701.78616364778</v>
      </c>
      <c r="O101" s="478">
        <f t="shared" si="29"/>
        <v>0</v>
      </c>
      <c r="P101" s="478">
        <f t="shared" si="30"/>
        <v>0</v>
      </c>
    </row>
    <row r="102" spans="1:16">
      <c r="B102" s="160" t="str">
        <f t="shared" si="31"/>
        <v/>
      </c>
      <c r="C102" s="472">
        <f>IF(D93="","-",+C101+1)</f>
        <v>2012</v>
      </c>
      <c r="D102" s="473">
        <v>4457563.1399999997</v>
      </c>
      <c r="E102" s="480">
        <v>90171</v>
      </c>
      <c r="F102" s="479">
        <v>4367392.1399999997</v>
      </c>
      <c r="G102" s="479">
        <v>4412477.6399999997</v>
      </c>
      <c r="H102" s="480">
        <v>724930.09682284109</v>
      </c>
      <c r="I102" s="481">
        <v>724930.09682284109</v>
      </c>
      <c r="J102" s="478">
        <v>0</v>
      </c>
      <c r="K102" s="478"/>
      <c r="L102" s="540">
        <f t="shared" si="26"/>
        <v>724930.09682284109</v>
      </c>
      <c r="M102" s="541">
        <f t="shared" ref="M102:M107" si="32">IF(L102&lt;&gt;0,+H102-L102,0)</f>
        <v>0</v>
      </c>
      <c r="N102" s="540">
        <f t="shared" si="28"/>
        <v>724930.09682284109</v>
      </c>
      <c r="O102" s="478">
        <f>IF(N102&lt;&gt;0,+I102-N102,0)</f>
        <v>0</v>
      </c>
      <c r="P102" s="478">
        <f>+O102-M102</f>
        <v>0</v>
      </c>
    </row>
    <row r="103" spans="1:16">
      <c r="B103" s="160" t="str">
        <f t="shared" si="31"/>
        <v/>
      </c>
      <c r="C103" s="472">
        <f>IF(D93="","-",+C102+1)</f>
        <v>2013</v>
      </c>
      <c r="D103" s="473">
        <v>4367392.1399999997</v>
      </c>
      <c r="E103" s="480">
        <v>90171</v>
      </c>
      <c r="F103" s="479">
        <v>4277221.1399999997</v>
      </c>
      <c r="G103" s="479">
        <v>4322306.6399999997</v>
      </c>
      <c r="H103" s="480">
        <v>712322.06264393788</v>
      </c>
      <c r="I103" s="481">
        <v>712322.06264393788</v>
      </c>
      <c r="J103" s="478">
        <v>0</v>
      </c>
      <c r="K103" s="478"/>
      <c r="L103" s="540">
        <f t="shared" si="26"/>
        <v>712322.06264393788</v>
      </c>
      <c r="M103" s="541">
        <f t="shared" si="32"/>
        <v>0</v>
      </c>
      <c r="N103" s="540">
        <f t="shared" si="28"/>
        <v>712322.06264393788</v>
      </c>
      <c r="O103" s="478">
        <f>IF(N103&lt;&gt;0,+I103-N103,0)</f>
        <v>0</v>
      </c>
      <c r="P103" s="478">
        <f>+O103-M103</f>
        <v>0</v>
      </c>
    </row>
    <row r="104" spans="1:16">
      <c r="B104" s="160" t="str">
        <f t="shared" si="31"/>
        <v/>
      </c>
      <c r="C104" s="472">
        <f>IF(D93="","-",+C103+1)</f>
        <v>2014</v>
      </c>
      <c r="D104" s="473">
        <v>4277221.1399999997</v>
      </c>
      <c r="E104" s="480">
        <v>90171</v>
      </c>
      <c r="F104" s="479">
        <v>4187050.1399999997</v>
      </c>
      <c r="G104" s="479">
        <v>4232135.6399999997</v>
      </c>
      <c r="H104" s="480">
        <v>685191.9710405051</v>
      </c>
      <c r="I104" s="481">
        <v>685191.9710405051</v>
      </c>
      <c r="J104" s="478">
        <v>0</v>
      </c>
      <c r="K104" s="478"/>
      <c r="L104" s="540">
        <f t="shared" si="26"/>
        <v>685191.9710405051</v>
      </c>
      <c r="M104" s="541">
        <f t="shared" si="32"/>
        <v>0</v>
      </c>
      <c r="N104" s="540">
        <f t="shared" si="28"/>
        <v>685191.9710405051</v>
      </c>
      <c r="O104" s="478">
        <f>IF(N104&lt;&gt;0,+I104-N104,0)</f>
        <v>0</v>
      </c>
      <c r="P104" s="478">
        <f>+O104-M104</f>
        <v>0</v>
      </c>
    </row>
    <row r="105" spans="1:16">
      <c r="B105" s="160" t="str">
        <f t="shared" si="31"/>
        <v/>
      </c>
      <c r="C105" s="472">
        <f>IF(D93="","-",+C104+1)</f>
        <v>2015</v>
      </c>
      <c r="D105" s="473">
        <v>4187050.1399999997</v>
      </c>
      <c r="E105" s="480">
        <v>90171</v>
      </c>
      <c r="F105" s="479">
        <v>4096879.1399999997</v>
      </c>
      <c r="G105" s="479">
        <v>4141964.6399999997</v>
      </c>
      <c r="H105" s="480">
        <v>655308.7720911433</v>
      </c>
      <c r="I105" s="481">
        <v>655308.7720911433</v>
      </c>
      <c r="J105" s="478">
        <f t="shared" si="25"/>
        <v>0</v>
      </c>
      <c r="K105" s="478"/>
      <c r="L105" s="540">
        <f t="shared" ref="L105:L110" si="33">H105</f>
        <v>655308.7720911433</v>
      </c>
      <c r="M105" s="541">
        <f t="shared" si="32"/>
        <v>0</v>
      </c>
      <c r="N105" s="540">
        <f t="shared" ref="N105:N110" si="34">I105</f>
        <v>655308.7720911433</v>
      </c>
      <c r="O105" s="478">
        <f t="shared" si="29"/>
        <v>0</v>
      </c>
      <c r="P105" s="478">
        <f t="shared" si="30"/>
        <v>0</v>
      </c>
    </row>
    <row r="106" spans="1:16">
      <c r="B106" s="160" t="str">
        <f t="shared" si="31"/>
        <v/>
      </c>
      <c r="C106" s="472">
        <f>IF(D93="","-",+C105+1)</f>
        <v>2016</v>
      </c>
      <c r="D106" s="473">
        <v>4096879.1399999997</v>
      </c>
      <c r="E106" s="480">
        <v>101933</v>
      </c>
      <c r="F106" s="479">
        <v>3994946.1399999997</v>
      </c>
      <c r="G106" s="479">
        <v>4045912.6399999997</v>
      </c>
      <c r="H106" s="480">
        <v>623514.8578657991</v>
      </c>
      <c r="I106" s="481">
        <v>623514.8578657991</v>
      </c>
      <c r="J106" s="478">
        <f t="shared" si="25"/>
        <v>0</v>
      </c>
      <c r="K106" s="478"/>
      <c r="L106" s="540">
        <f t="shared" si="33"/>
        <v>623514.8578657991</v>
      </c>
      <c r="M106" s="541">
        <f t="shared" si="32"/>
        <v>0</v>
      </c>
      <c r="N106" s="540">
        <f t="shared" si="34"/>
        <v>623514.8578657991</v>
      </c>
      <c r="O106" s="478">
        <f>IF(N106&lt;&gt;0,+I106-N106,0)</f>
        <v>0</v>
      </c>
      <c r="P106" s="478">
        <f>+O106-M106</f>
        <v>0</v>
      </c>
    </row>
    <row r="107" spans="1:16">
      <c r="B107" s="160" t="str">
        <f t="shared" si="31"/>
        <v/>
      </c>
      <c r="C107" s="472">
        <f>IF(D93="","-",+C106+1)</f>
        <v>2017</v>
      </c>
      <c r="D107" s="473">
        <v>3994946.1399999997</v>
      </c>
      <c r="E107" s="480">
        <v>101933</v>
      </c>
      <c r="F107" s="479">
        <v>3893013.1399999997</v>
      </c>
      <c r="G107" s="479">
        <v>3943979.6399999997</v>
      </c>
      <c r="H107" s="480">
        <v>602236.76208219538</v>
      </c>
      <c r="I107" s="481">
        <v>602236.76208219538</v>
      </c>
      <c r="J107" s="478">
        <f t="shared" si="25"/>
        <v>0</v>
      </c>
      <c r="K107" s="478"/>
      <c r="L107" s="540">
        <f t="shared" si="33"/>
        <v>602236.76208219538</v>
      </c>
      <c r="M107" s="541">
        <f t="shared" si="32"/>
        <v>0</v>
      </c>
      <c r="N107" s="540">
        <f t="shared" si="34"/>
        <v>602236.76208219538</v>
      </c>
      <c r="O107" s="478">
        <f>IF(N107&lt;&gt;0,+I107-N107,0)</f>
        <v>0</v>
      </c>
      <c r="P107" s="478">
        <f>+O107-M107</f>
        <v>0</v>
      </c>
    </row>
    <row r="108" spans="1:16">
      <c r="B108" s="160" t="str">
        <f t="shared" si="31"/>
        <v/>
      </c>
      <c r="C108" s="472">
        <f>IF(D93="","-",+C107+1)</f>
        <v>2018</v>
      </c>
      <c r="D108" s="473">
        <v>3893013.1399999997</v>
      </c>
      <c r="E108" s="480">
        <v>109044</v>
      </c>
      <c r="F108" s="479">
        <v>3783969.1399999997</v>
      </c>
      <c r="G108" s="479">
        <v>3838491.1399999997</v>
      </c>
      <c r="H108" s="480">
        <v>503393.56302800257</v>
      </c>
      <c r="I108" s="481">
        <v>503393.56302800257</v>
      </c>
      <c r="J108" s="478">
        <f t="shared" si="25"/>
        <v>0</v>
      </c>
      <c r="K108" s="478"/>
      <c r="L108" s="540">
        <f t="shared" si="33"/>
        <v>503393.56302800257</v>
      </c>
      <c r="M108" s="541">
        <f t="shared" ref="M108" si="35">IF(L108&lt;&gt;0,+H108-L108,0)</f>
        <v>0</v>
      </c>
      <c r="N108" s="540">
        <f t="shared" si="34"/>
        <v>503393.56302800257</v>
      </c>
      <c r="O108" s="478">
        <f>IF(N108&lt;&gt;0,+I108-N108,0)</f>
        <v>0</v>
      </c>
      <c r="P108" s="478">
        <f>+O108-M108</f>
        <v>0</v>
      </c>
    </row>
    <row r="109" spans="1:16">
      <c r="B109" s="160" t="str">
        <f t="shared" si="31"/>
        <v/>
      </c>
      <c r="C109" s="472">
        <f>IF(D93="","-",+C108+1)</f>
        <v>2019</v>
      </c>
      <c r="D109" s="473">
        <v>3783969.1399999997</v>
      </c>
      <c r="E109" s="480">
        <v>114363</v>
      </c>
      <c r="F109" s="479">
        <v>3669606.1399999997</v>
      </c>
      <c r="G109" s="479">
        <v>3726787.6399999997</v>
      </c>
      <c r="H109" s="480">
        <v>498647.07790793071</v>
      </c>
      <c r="I109" s="481">
        <v>498647.07790793071</v>
      </c>
      <c r="J109" s="478">
        <f t="shared" si="25"/>
        <v>0</v>
      </c>
      <c r="K109" s="478"/>
      <c r="L109" s="540">
        <f t="shared" si="33"/>
        <v>498647.07790793071</v>
      </c>
      <c r="M109" s="541">
        <f t="shared" ref="M109:M110" si="36">IF(L109&lt;&gt;0,+H109-L109,0)</f>
        <v>0</v>
      </c>
      <c r="N109" s="540">
        <f t="shared" si="34"/>
        <v>498647.07790793071</v>
      </c>
      <c r="O109" s="478">
        <f t="shared" si="29"/>
        <v>0</v>
      </c>
      <c r="P109" s="478">
        <f t="shared" si="30"/>
        <v>0</v>
      </c>
    </row>
    <row r="110" spans="1:16">
      <c r="B110" s="160" t="str">
        <f t="shared" si="31"/>
        <v/>
      </c>
      <c r="C110" s="472">
        <f>IF(D93="","-",+C109+1)</f>
        <v>2020</v>
      </c>
      <c r="D110" s="473">
        <v>3669606.1399999997</v>
      </c>
      <c r="E110" s="480">
        <v>109044</v>
      </c>
      <c r="F110" s="479">
        <v>3560562.1399999997</v>
      </c>
      <c r="G110" s="479">
        <v>3615084.1399999997</v>
      </c>
      <c r="H110" s="480">
        <v>525853.2624876654</v>
      </c>
      <c r="I110" s="481">
        <v>525853.2624876654</v>
      </c>
      <c r="J110" s="478">
        <f t="shared" si="25"/>
        <v>0</v>
      </c>
      <c r="K110" s="478"/>
      <c r="L110" s="540">
        <f t="shared" si="33"/>
        <v>525853.2624876654</v>
      </c>
      <c r="M110" s="541">
        <f t="shared" si="36"/>
        <v>0</v>
      </c>
      <c r="N110" s="540">
        <f t="shared" si="34"/>
        <v>525853.2624876654</v>
      </c>
      <c r="O110" s="478">
        <f t="shared" si="29"/>
        <v>0</v>
      </c>
      <c r="P110" s="478">
        <f t="shared" si="30"/>
        <v>0</v>
      </c>
    </row>
    <row r="111" spans="1:16">
      <c r="B111" s="160" t="str">
        <f t="shared" si="31"/>
        <v/>
      </c>
      <c r="C111" s="472">
        <f>IF(D93="","-",+C110+1)</f>
        <v>2021</v>
      </c>
      <c r="D111" s="346">
        <f>IF(F110+SUM(E$99:E110)=D$92,F110,D$92-SUM(E$99:E110))</f>
        <v>3560562.1399999997</v>
      </c>
      <c r="E111" s="486">
        <f>IF(+J96&lt;F110,J96,D111)</f>
        <v>111640</v>
      </c>
      <c r="F111" s="485">
        <f t="shared" ref="F111:F130" si="37">+D111-E111</f>
        <v>3448922.1399999997</v>
      </c>
      <c r="G111" s="485">
        <f t="shared" ref="G111:G130" si="38">+(F111+D111)/2</f>
        <v>3504742.1399999997</v>
      </c>
      <c r="H111" s="488">
        <f t="shared" ref="H111:H154" si="39">+J$94*G111+E111</f>
        <v>489490.61634657375</v>
      </c>
      <c r="I111" s="542">
        <f t="shared" ref="I111:I154" si="40">+J$95*G111+E111</f>
        <v>489490.61634657375</v>
      </c>
      <c r="J111" s="478">
        <f t="shared" si="25"/>
        <v>0</v>
      </c>
      <c r="K111" s="478"/>
      <c r="L111" s="487"/>
      <c r="M111" s="478">
        <f t="shared" si="27"/>
        <v>0</v>
      </c>
      <c r="N111" s="487"/>
      <c r="O111" s="478">
        <f t="shared" si="29"/>
        <v>0</v>
      </c>
      <c r="P111" s="478">
        <f t="shared" si="30"/>
        <v>0</v>
      </c>
    </row>
    <row r="112" spans="1:16">
      <c r="B112" s="160" t="str">
        <f t="shared" si="31"/>
        <v/>
      </c>
      <c r="C112" s="472">
        <f>IF(D93="","-",+C111+1)</f>
        <v>2022</v>
      </c>
      <c r="D112" s="346">
        <f>IF(F111+SUM(E$99:E111)=D$92,F111,D$92-SUM(E$99:E111))</f>
        <v>3448922.1399999997</v>
      </c>
      <c r="E112" s="486">
        <f>IF(+J96&lt;F111,J96,D112)</f>
        <v>111640</v>
      </c>
      <c r="F112" s="485">
        <f t="shared" si="37"/>
        <v>3337282.1399999997</v>
      </c>
      <c r="G112" s="485">
        <f t="shared" si="38"/>
        <v>3393102.1399999997</v>
      </c>
      <c r="H112" s="488">
        <f t="shared" si="39"/>
        <v>477454.56886465213</v>
      </c>
      <c r="I112" s="542">
        <f t="shared" si="40"/>
        <v>477454.56886465213</v>
      </c>
      <c r="J112" s="478">
        <f t="shared" si="25"/>
        <v>0</v>
      </c>
      <c r="K112" s="478"/>
      <c r="L112" s="487"/>
      <c r="M112" s="478">
        <f t="shared" si="27"/>
        <v>0</v>
      </c>
      <c r="N112" s="487"/>
      <c r="O112" s="478">
        <f t="shared" si="29"/>
        <v>0</v>
      </c>
      <c r="P112" s="478">
        <f t="shared" si="30"/>
        <v>0</v>
      </c>
    </row>
    <row r="113" spans="2:16">
      <c r="B113" s="160" t="str">
        <f t="shared" si="31"/>
        <v/>
      </c>
      <c r="C113" s="472">
        <f>IF(D93="","-",+C112+1)</f>
        <v>2023</v>
      </c>
      <c r="D113" s="346">
        <f>IF(F112+SUM(E$99:E112)=D$92,F112,D$92-SUM(E$99:E112))</f>
        <v>3337282.1399999997</v>
      </c>
      <c r="E113" s="486">
        <f>IF(+J96&lt;F112,J96,D113)</f>
        <v>111640</v>
      </c>
      <c r="F113" s="485">
        <f t="shared" si="37"/>
        <v>3225642.1399999997</v>
      </c>
      <c r="G113" s="485">
        <f t="shared" si="38"/>
        <v>3281462.1399999997</v>
      </c>
      <c r="H113" s="488">
        <f t="shared" si="39"/>
        <v>465418.52138273057</v>
      </c>
      <c r="I113" s="542">
        <f t="shared" si="40"/>
        <v>465418.52138273057</v>
      </c>
      <c r="J113" s="478">
        <f t="shared" si="25"/>
        <v>0</v>
      </c>
      <c r="K113" s="478"/>
      <c r="L113" s="487"/>
      <c r="M113" s="478">
        <f t="shared" si="27"/>
        <v>0</v>
      </c>
      <c r="N113" s="487"/>
      <c r="O113" s="478">
        <f t="shared" si="29"/>
        <v>0</v>
      </c>
      <c r="P113" s="478">
        <f t="shared" si="30"/>
        <v>0</v>
      </c>
    </row>
    <row r="114" spans="2:16">
      <c r="B114" s="160" t="str">
        <f t="shared" si="31"/>
        <v/>
      </c>
      <c r="C114" s="472">
        <f>IF(D93="","-",+C113+1)</f>
        <v>2024</v>
      </c>
      <c r="D114" s="346">
        <f>IF(F113+SUM(E$99:E113)=D$92,F113,D$92-SUM(E$99:E113))</f>
        <v>3225642.1399999997</v>
      </c>
      <c r="E114" s="486">
        <f>IF(+J96&lt;F113,J96,D114)</f>
        <v>111640</v>
      </c>
      <c r="F114" s="485">
        <f t="shared" si="37"/>
        <v>3114002.1399999997</v>
      </c>
      <c r="G114" s="485">
        <f t="shared" si="38"/>
        <v>3169822.1399999997</v>
      </c>
      <c r="H114" s="488">
        <f t="shared" si="39"/>
        <v>453382.47390080895</v>
      </c>
      <c r="I114" s="542">
        <f t="shared" si="40"/>
        <v>453382.47390080895</v>
      </c>
      <c r="J114" s="478">
        <f t="shared" si="25"/>
        <v>0</v>
      </c>
      <c r="K114" s="478"/>
      <c r="L114" s="487"/>
      <c r="M114" s="478">
        <f t="shared" si="27"/>
        <v>0</v>
      </c>
      <c r="N114" s="487"/>
      <c r="O114" s="478">
        <f t="shared" si="29"/>
        <v>0</v>
      </c>
      <c r="P114" s="478">
        <f t="shared" si="30"/>
        <v>0</v>
      </c>
    </row>
    <row r="115" spans="2:16">
      <c r="B115" s="160" t="str">
        <f t="shared" si="31"/>
        <v/>
      </c>
      <c r="C115" s="472">
        <f>IF(D93="","-",+C114+1)</f>
        <v>2025</v>
      </c>
      <c r="D115" s="346">
        <f>IF(F114+SUM(E$99:E114)=D$92,F114,D$92-SUM(E$99:E114))</f>
        <v>3114002.1399999997</v>
      </c>
      <c r="E115" s="486">
        <f>IF(+J96&lt;F114,J96,D115)</f>
        <v>111640</v>
      </c>
      <c r="F115" s="485">
        <f t="shared" si="37"/>
        <v>3002362.1399999997</v>
      </c>
      <c r="G115" s="485">
        <f t="shared" si="38"/>
        <v>3058182.1399999997</v>
      </c>
      <c r="H115" s="488">
        <f t="shared" si="39"/>
        <v>441346.42641888739</v>
      </c>
      <c r="I115" s="542">
        <f t="shared" si="40"/>
        <v>441346.42641888739</v>
      </c>
      <c r="J115" s="478">
        <f t="shared" si="25"/>
        <v>0</v>
      </c>
      <c r="K115" s="478"/>
      <c r="L115" s="487"/>
      <c r="M115" s="478">
        <f t="shared" si="27"/>
        <v>0</v>
      </c>
      <c r="N115" s="487"/>
      <c r="O115" s="478">
        <f t="shared" si="29"/>
        <v>0</v>
      </c>
      <c r="P115" s="478">
        <f t="shared" si="30"/>
        <v>0</v>
      </c>
    </row>
    <row r="116" spans="2:16">
      <c r="B116" s="160" t="str">
        <f t="shared" si="31"/>
        <v/>
      </c>
      <c r="C116" s="472">
        <f>IF(D93="","-",+C115+1)</f>
        <v>2026</v>
      </c>
      <c r="D116" s="346">
        <f>IF(F115+SUM(E$99:E115)=D$92,F115,D$92-SUM(E$99:E115))</f>
        <v>3002362.1399999997</v>
      </c>
      <c r="E116" s="486">
        <f>IF(+J96&lt;F115,J96,D116)</f>
        <v>111640</v>
      </c>
      <c r="F116" s="485">
        <f t="shared" si="37"/>
        <v>2890722.1399999997</v>
      </c>
      <c r="G116" s="485">
        <f t="shared" si="38"/>
        <v>2946542.1399999997</v>
      </c>
      <c r="H116" s="488">
        <f t="shared" si="39"/>
        <v>429310.37893696578</v>
      </c>
      <c r="I116" s="542">
        <f t="shared" si="40"/>
        <v>429310.37893696578</v>
      </c>
      <c r="J116" s="478">
        <f t="shared" si="25"/>
        <v>0</v>
      </c>
      <c r="K116" s="478"/>
      <c r="L116" s="487"/>
      <c r="M116" s="478">
        <f t="shared" si="27"/>
        <v>0</v>
      </c>
      <c r="N116" s="487"/>
      <c r="O116" s="478">
        <f t="shared" si="29"/>
        <v>0</v>
      </c>
      <c r="P116" s="478">
        <f t="shared" si="30"/>
        <v>0</v>
      </c>
    </row>
    <row r="117" spans="2:16">
      <c r="B117" s="160" t="str">
        <f t="shared" si="31"/>
        <v/>
      </c>
      <c r="C117" s="472">
        <f>IF(D93="","-",+C116+1)</f>
        <v>2027</v>
      </c>
      <c r="D117" s="346">
        <f>IF(F116+SUM(E$99:E116)=D$92,F116,D$92-SUM(E$99:E116))</f>
        <v>2890722.1399999997</v>
      </c>
      <c r="E117" s="486">
        <f>IF(+J96&lt;F116,J96,D117)</f>
        <v>111640</v>
      </c>
      <c r="F117" s="485">
        <f t="shared" si="37"/>
        <v>2779082.1399999997</v>
      </c>
      <c r="G117" s="485">
        <f t="shared" si="38"/>
        <v>2834902.1399999997</v>
      </c>
      <c r="H117" s="488">
        <f t="shared" si="39"/>
        <v>417274.33145504416</v>
      </c>
      <c r="I117" s="542">
        <f t="shared" si="40"/>
        <v>417274.33145504416</v>
      </c>
      <c r="J117" s="478">
        <f t="shared" si="25"/>
        <v>0</v>
      </c>
      <c r="K117" s="478"/>
      <c r="L117" s="487"/>
      <c r="M117" s="478">
        <f t="shared" si="27"/>
        <v>0</v>
      </c>
      <c r="N117" s="487"/>
      <c r="O117" s="478">
        <f t="shared" si="29"/>
        <v>0</v>
      </c>
      <c r="P117" s="478">
        <f t="shared" si="30"/>
        <v>0</v>
      </c>
    </row>
    <row r="118" spans="2:16">
      <c r="B118" s="160" t="str">
        <f t="shared" si="31"/>
        <v/>
      </c>
      <c r="C118" s="472">
        <f>IF(D93="","-",+C117+1)</f>
        <v>2028</v>
      </c>
      <c r="D118" s="346">
        <f>IF(F117+SUM(E$99:E117)=D$92,F117,D$92-SUM(E$99:E117))</f>
        <v>2779082.1399999997</v>
      </c>
      <c r="E118" s="486">
        <f>IF(+J96&lt;F117,J96,D118)</f>
        <v>111640</v>
      </c>
      <c r="F118" s="485">
        <f t="shared" si="37"/>
        <v>2667442.1399999997</v>
      </c>
      <c r="G118" s="485">
        <f t="shared" si="38"/>
        <v>2723262.1399999997</v>
      </c>
      <c r="H118" s="488">
        <f t="shared" si="39"/>
        <v>405238.2839731226</v>
      </c>
      <c r="I118" s="542">
        <f t="shared" si="40"/>
        <v>405238.2839731226</v>
      </c>
      <c r="J118" s="478">
        <f t="shared" si="25"/>
        <v>0</v>
      </c>
      <c r="K118" s="478"/>
      <c r="L118" s="487"/>
      <c r="M118" s="478">
        <f t="shared" si="27"/>
        <v>0</v>
      </c>
      <c r="N118" s="487"/>
      <c r="O118" s="478">
        <f t="shared" si="29"/>
        <v>0</v>
      </c>
      <c r="P118" s="478">
        <f t="shared" si="30"/>
        <v>0</v>
      </c>
    </row>
    <row r="119" spans="2:16">
      <c r="B119" s="160" t="str">
        <f t="shared" si="31"/>
        <v/>
      </c>
      <c r="C119" s="472">
        <f>IF(D93="","-",+C118+1)</f>
        <v>2029</v>
      </c>
      <c r="D119" s="346">
        <f>IF(F118+SUM(E$99:E118)=D$92,F118,D$92-SUM(E$99:E118))</f>
        <v>2667442.1399999997</v>
      </c>
      <c r="E119" s="486">
        <f>IF(+J96&lt;F118,J96,D119)</f>
        <v>111640</v>
      </c>
      <c r="F119" s="485">
        <f t="shared" si="37"/>
        <v>2555802.1399999997</v>
      </c>
      <c r="G119" s="485">
        <f t="shared" si="38"/>
        <v>2611622.1399999997</v>
      </c>
      <c r="H119" s="488">
        <f t="shared" si="39"/>
        <v>393202.23649120098</v>
      </c>
      <c r="I119" s="542">
        <f t="shared" si="40"/>
        <v>393202.23649120098</v>
      </c>
      <c r="J119" s="478">
        <f t="shared" si="25"/>
        <v>0</v>
      </c>
      <c r="K119" s="478"/>
      <c r="L119" s="487"/>
      <c r="M119" s="478">
        <f t="shared" si="27"/>
        <v>0</v>
      </c>
      <c r="N119" s="487"/>
      <c r="O119" s="478">
        <f t="shared" si="29"/>
        <v>0</v>
      </c>
      <c r="P119" s="478">
        <f t="shared" si="30"/>
        <v>0</v>
      </c>
    </row>
    <row r="120" spans="2:16">
      <c r="B120" s="160" t="str">
        <f t="shared" si="31"/>
        <v/>
      </c>
      <c r="C120" s="472">
        <f>IF(D93="","-",+C119+1)</f>
        <v>2030</v>
      </c>
      <c r="D120" s="346">
        <f>IF(F119+SUM(E$99:E119)=D$92,F119,D$92-SUM(E$99:E119))</f>
        <v>2555802.1399999997</v>
      </c>
      <c r="E120" s="486">
        <f>IF(+J96&lt;F119,J96,D120)</f>
        <v>111640</v>
      </c>
      <c r="F120" s="485">
        <f t="shared" si="37"/>
        <v>2444162.1399999997</v>
      </c>
      <c r="G120" s="485">
        <f t="shared" si="38"/>
        <v>2499982.1399999997</v>
      </c>
      <c r="H120" s="488">
        <f t="shared" si="39"/>
        <v>381166.18900927942</v>
      </c>
      <c r="I120" s="542">
        <f t="shared" si="40"/>
        <v>381166.18900927942</v>
      </c>
      <c r="J120" s="478">
        <f t="shared" si="25"/>
        <v>0</v>
      </c>
      <c r="K120" s="478"/>
      <c r="L120" s="487"/>
      <c r="M120" s="478">
        <f t="shared" si="27"/>
        <v>0</v>
      </c>
      <c r="N120" s="487"/>
      <c r="O120" s="478">
        <f t="shared" si="29"/>
        <v>0</v>
      </c>
      <c r="P120" s="478">
        <f t="shared" si="30"/>
        <v>0</v>
      </c>
    </row>
    <row r="121" spans="2:16">
      <c r="B121" s="160" t="str">
        <f t="shared" si="31"/>
        <v/>
      </c>
      <c r="C121" s="472">
        <f>IF(D93="","-",+C120+1)</f>
        <v>2031</v>
      </c>
      <c r="D121" s="346">
        <f>IF(F120+SUM(E$99:E120)=D$92,F120,D$92-SUM(E$99:E120))</f>
        <v>2444162.1399999997</v>
      </c>
      <c r="E121" s="486">
        <f>IF(+J96&lt;F120,J96,D121)</f>
        <v>111640</v>
      </c>
      <c r="F121" s="485">
        <f t="shared" si="37"/>
        <v>2332522.1399999997</v>
      </c>
      <c r="G121" s="485">
        <f t="shared" si="38"/>
        <v>2388342.1399999997</v>
      </c>
      <c r="H121" s="488">
        <f t="shared" si="39"/>
        <v>369130.1415273578</v>
      </c>
      <c r="I121" s="542">
        <f t="shared" si="40"/>
        <v>369130.1415273578</v>
      </c>
      <c r="J121" s="478">
        <f t="shared" si="25"/>
        <v>0</v>
      </c>
      <c r="K121" s="478"/>
      <c r="L121" s="487"/>
      <c r="M121" s="478">
        <f t="shared" si="27"/>
        <v>0</v>
      </c>
      <c r="N121" s="487"/>
      <c r="O121" s="478">
        <f t="shared" si="29"/>
        <v>0</v>
      </c>
      <c r="P121" s="478">
        <f t="shared" si="30"/>
        <v>0</v>
      </c>
    </row>
    <row r="122" spans="2:16">
      <c r="B122" s="160" t="str">
        <f t="shared" si="31"/>
        <v/>
      </c>
      <c r="C122" s="472">
        <f>IF(D93="","-",+C121+1)</f>
        <v>2032</v>
      </c>
      <c r="D122" s="346">
        <f>IF(F121+SUM(E$99:E121)=D$92,F121,D$92-SUM(E$99:E121))</f>
        <v>2332522.1399999997</v>
      </c>
      <c r="E122" s="486">
        <f>IF(+J96&lt;F121,J96,D122)</f>
        <v>111640</v>
      </c>
      <c r="F122" s="485">
        <f t="shared" si="37"/>
        <v>2220882.1399999997</v>
      </c>
      <c r="G122" s="485">
        <f t="shared" si="38"/>
        <v>2276702.1399999997</v>
      </c>
      <c r="H122" s="488">
        <f t="shared" si="39"/>
        <v>357094.09404543624</v>
      </c>
      <c r="I122" s="542">
        <f t="shared" si="40"/>
        <v>357094.09404543624</v>
      </c>
      <c r="J122" s="478">
        <f t="shared" si="25"/>
        <v>0</v>
      </c>
      <c r="K122" s="478"/>
      <c r="L122" s="487"/>
      <c r="M122" s="478">
        <f t="shared" si="27"/>
        <v>0</v>
      </c>
      <c r="N122" s="487"/>
      <c r="O122" s="478">
        <f t="shared" si="29"/>
        <v>0</v>
      </c>
      <c r="P122" s="478">
        <f t="shared" si="30"/>
        <v>0</v>
      </c>
    </row>
    <row r="123" spans="2:16">
      <c r="B123" s="160" t="str">
        <f t="shared" si="31"/>
        <v/>
      </c>
      <c r="C123" s="472">
        <f>IF(D93="","-",+C122+1)</f>
        <v>2033</v>
      </c>
      <c r="D123" s="346">
        <f>IF(F122+SUM(E$99:E122)=D$92,F122,D$92-SUM(E$99:E122))</f>
        <v>2220882.1399999997</v>
      </c>
      <c r="E123" s="486">
        <f>IF(+J96&lt;F122,J96,D123)</f>
        <v>111640</v>
      </c>
      <c r="F123" s="485">
        <f t="shared" si="37"/>
        <v>2109242.1399999997</v>
      </c>
      <c r="G123" s="485">
        <f t="shared" si="38"/>
        <v>2165062.1399999997</v>
      </c>
      <c r="H123" s="488">
        <f t="shared" si="39"/>
        <v>345058.04656351462</v>
      </c>
      <c r="I123" s="542">
        <f t="shared" si="40"/>
        <v>345058.04656351462</v>
      </c>
      <c r="J123" s="478">
        <f t="shared" si="25"/>
        <v>0</v>
      </c>
      <c r="K123" s="478"/>
      <c r="L123" s="487"/>
      <c r="M123" s="478">
        <f t="shared" si="27"/>
        <v>0</v>
      </c>
      <c r="N123" s="487"/>
      <c r="O123" s="478">
        <f t="shared" si="29"/>
        <v>0</v>
      </c>
      <c r="P123" s="478">
        <f t="shared" si="30"/>
        <v>0</v>
      </c>
    </row>
    <row r="124" spans="2:16">
      <c r="B124" s="160" t="str">
        <f t="shared" si="31"/>
        <v/>
      </c>
      <c r="C124" s="472">
        <f>IF(D93="","-",+C123+1)</f>
        <v>2034</v>
      </c>
      <c r="D124" s="346">
        <f>IF(F123+SUM(E$99:E123)=D$92,F123,D$92-SUM(E$99:E123))</f>
        <v>2109242.1399999997</v>
      </c>
      <c r="E124" s="486">
        <f>IF(+J96&lt;F123,J96,D124)</f>
        <v>111640</v>
      </c>
      <c r="F124" s="485">
        <f t="shared" si="37"/>
        <v>1997602.1399999997</v>
      </c>
      <c r="G124" s="485">
        <f t="shared" si="38"/>
        <v>2053422.1399999997</v>
      </c>
      <c r="H124" s="488">
        <f t="shared" si="39"/>
        <v>333021.99908159301</v>
      </c>
      <c r="I124" s="542">
        <f t="shared" si="40"/>
        <v>333021.99908159301</v>
      </c>
      <c r="J124" s="478">
        <f t="shared" si="25"/>
        <v>0</v>
      </c>
      <c r="K124" s="478"/>
      <c r="L124" s="487"/>
      <c r="M124" s="478">
        <f t="shared" si="27"/>
        <v>0</v>
      </c>
      <c r="N124" s="487"/>
      <c r="O124" s="478">
        <f t="shared" si="29"/>
        <v>0</v>
      </c>
      <c r="P124" s="478">
        <f t="shared" si="30"/>
        <v>0</v>
      </c>
    </row>
    <row r="125" spans="2:16">
      <c r="B125" s="160" t="str">
        <f t="shared" si="31"/>
        <v/>
      </c>
      <c r="C125" s="472">
        <f>IF(D93="","-",+C124+1)</f>
        <v>2035</v>
      </c>
      <c r="D125" s="346">
        <f>IF(F124+SUM(E$99:E124)=D$92,F124,D$92-SUM(E$99:E124))</f>
        <v>1997602.1399999997</v>
      </c>
      <c r="E125" s="486">
        <f>IF(+J96&lt;F124,J96,D125)</f>
        <v>111640</v>
      </c>
      <c r="F125" s="485">
        <f t="shared" si="37"/>
        <v>1885962.1399999997</v>
      </c>
      <c r="G125" s="485">
        <f t="shared" si="38"/>
        <v>1941782.1399999997</v>
      </c>
      <c r="H125" s="488">
        <f t="shared" si="39"/>
        <v>320985.95159967139</v>
      </c>
      <c r="I125" s="542">
        <f t="shared" si="40"/>
        <v>320985.95159967139</v>
      </c>
      <c r="J125" s="478">
        <f t="shared" si="25"/>
        <v>0</v>
      </c>
      <c r="K125" s="478"/>
      <c r="L125" s="487"/>
      <c r="M125" s="478">
        <f t="shared" si="27"/>
        <v>0</v>
      </c>
      <c r="N125" s="487"/>
      <c r="O125" s="478">
        <f t="shared" si="29"/>
        <v>0</v>
      </c>
      <c r="P125" s="478">
        <f t="shared" si="30"/>
        <v>0</v>
      </c>
    </row>
    <row r="126" spans="2:16">
      <c r="B126" s="160" t="str">
        <f t="shared" si="31"/>
        <v/>
      </c>
      <c r="C126" s="472">
        <f>IF(D93="","-",+C125+1)</f>
        <v>2036</v>
      </c>
      <c r="D126" s="346">
        <f>IF(F125+SUM(E$99:E125)=D$92,F125,D$92-SUM(E$99:E125))</f>
        <v>1885962.1399999997</v>
      </c>
      <c r="E126" s="486">
        <f>IF(+J96&lt;F125,J96,D126)</f>
        <v>111640</v>
      </c>
      <c r="F126" s="485">
        <f t="shared" si="37"/>
        <v>1774322.1399999997</v>
      </c>
      <c r="G126" s="485">
        <f t="shared" si="38"/>
        <v>1830142.1399999997</v>
      </c>
      <c r="H126" s="488">
        <f t="shared" si="39"/>
        <v>308949.90411774983</v>
      </c>
      <c r="I126" s="542">
        <f t="shared" si="40"/>
        <v>308949.90411774983</v>
      </c>
      <c r="J126" s="478">
        <f t="shared" si="25"/>
        <v>0</v>
      </c>
      <c r="K126" s="478"/>
      <c r="L126" s="487"/>
      <c r="M126" s="478">
        <f t="shared" si="27"/>
        <v>0</v>
      </c>
      <c r="N126" s="487"/>
      <c r="O126" s="478">
        <f t="shared" si="29"/>
        <v>0</v>
      </c>
      <c r="P126" s="478">
        <f t="shared" si="30"/>
        <v>0</v>
      </c>
    </row>
    <row r="127" spans="2:16">
      <c r="B127" s="160" t="str">
        <f t="shared" si="31"/>
        <v/>
      </c>
      <c r="C127" s="472">
        <f>IF(D93="","-",+C126+1)</f>
        <v>2037</v>
      </c>
      <c r="D127" s="346">
        <f>IF(F126+SUM(E$99:E126)=D$92,F126,D$92-SUM(E$99:E126))</f>
        <v>1774322.1399999997</v>
      </c>
      <c r="E127" s="486">
        <f>IF(+J96&lt;F126,J96,D127)</f>
        <v>111640</v>
      </c>
      <c r="F127" s="485">
        <f t="shared" si="37"/>
        <v>1662682.1399999997</v>
      </c>
      <c r="G127" s="485">
        <f t="shared" si="38"/>
        <v>1718502.1399999997</v>
      </c>
      <c r="H127" s="488">
        <f t="shared" si="39"/>
        <v>296913.85663582827</v>
      </c>
      <c r="I127" s="542">
        <f t="shared" si="40"/>
        <v>296913.85663582827</v>
      </c>
      <c r="J127" s="478">
        <f t="shared" si="25"/>
        <v>0</v>
      </c>
      <c r="K127" s="478"/>
      <c r="L127" s="487"/>
      <c r="M127" s="478">
        <f t="shared" si="27"/>
        <v>0</v>
      </c>
      <c r="N127" s="487"/>
      <c r="O127" s="478">
        <f t="shared" si="29"/>
        <v>0</v>
      </c>
      <c r="P127" s="478">
        <f t="shared" si="30"/>
        <v>0</v>
      </c>
    </row>
    <row r="128" spans="2:16">
      <c r="B128" s="160" t="str">
        <f t="shared" si="31"/>
        <v/>
      </c>
      <c r="C128" s="472">
        <f>IF(D93="","-",+C127+1)</f>
        <v>2038</v>
      </c>
      <c r="D128" s="346">
        <f>IF(F127+SUM(E$99:E127)=D$92,F127,D$92-SUM(E$99:E127))</f>
        <v>1662682.1399999997</v>
      </c>
      <c r="E128" s="486">
        <f>IF(+J96&lt;F127,J96,D128)</f>
        <v>111640</v>
      </c>
      <c r="F128" s="485">
        <f t="shared" si="37"/>
        <v>1551042.1399999997</v>
      </c>
      <c r="G128" s="485">
        <f t="shared" si="38"/>
        <v>1606862.1399999997</v>
      </c>
      <c r="H128" s="488">
        <f t="shared" si="39"/>
        <v>284877.80915390665</v>
      </c>
      <c r="I128" s="542">
        <f t="shared" si="40"/>
        <v>284877.80915390665</v>
      </c>
      <c r="J128" s="478">
        <f t="shared" si="25"/>
        <v>0</v>
      </c>
      <c r="K128" s="478"/>
      <c r="L128" s="487"/>
      <c r="M128" s="478">
        <f t="shared" si="27"/>
        <v>0</v>
      </c>
      <c r="N128" s="487"/>
      <c r="O128" s="478">
        <f t="shared" si="29"/>
        <v>0</v>
      </c>
      <c r="P128" s="478">
        <f t="shared" si="30"/>
        <v>0</v>
      </c>
    </row>
    <row r="129" spans="2:16">
      <c r="B129" s="160" t="str">
        <f t="shared" si="31"/>
        <v/>
      </c>
      <c r="C129" s="472">
        <f>IF(D93="","-",+C128+1)</f>
        <v>2039</v>
      </c>
      <c r="D129" s="346">
        <f>IF(F128+SUM(E$99:E128)=D$92,F128,D$92-SUM(E$99:E128))</f>
        <v>1551042.1399999997</v>
      </c>
      <c r="E129" s="486">
        <f>IF(+J96&lt;F128,J96,D129)</f>
        <v>111640</v>
      </c>
      <c r="F129" s="485">
        <f t="shared" si="37"/>
        <v>1439402.1399999997</v>
      </c>
      <c r="G129" s="485">
        <f t="shared" si="38"/>
        <v>1495222.1399999997</v>
      </c>
      <c r="H129" s="488">
        <f t="shared" si="39"/>
        <v>272841.76167198503</v>
      </c>
      <c r="I129" s="542">
        <f t="shared" si="40"/>
        <v>272841.76167198503</v>
      </c>
      <c r="J129" s="478">
        <f t="shared" si="25"/>
        <v>0</v>
      </c>
      <c r="K129" s="478"/>
      <c r="L129" s="487"/>
      <c r="M129" s="478">
        <f t="shared" si="27"/>
        <v>0</v>
      </c>
      <c r="N129" s="487"/>
      <c r="O129" s="478">
        <f t="shared" si="29"/>
        <v>0</v>
      </c>
      <c r="P129" s="478">
        <f t="shared" si="30"/>
        <v>0</v>
      </c>
    </row>
    <row r="130" spans="2:16">
      <c r="B130" s="160" t="str">
        <f t="shared" si="31"/>
        <v/>
      </c>
      <c r="C130" s="472">
        <f>IF(D93="","-",+C129+1)</f>
        <v>2040</v>
      </c>
      <c r="D130" s="346">
        <f>IF(F129+SUM(E$99:E129)=D$92,F129,D$92-SUM(E$99:E129))</f>
        <v>1439402.1399999997</v>
      </c>
      <c r="E130" s="486">
        <f>IF(+J96&lt;F129,J96,D130)</f>
        <v>111640</v>
      </c>
      <c r="F130" s="485">
        <f t="shared" si="37"/>
        <v>1327762.1399999997</v>
      </c>
      <c r="G130" s="485">
        <f t="shared" si="38"/>
        <v>1383582.1399999997</v>
      </c>
      <c r="H130" s="488">
        <f t="shared" si="39"/>
        <v>260805.71419006347</v>
      </c>
      <c r="I130" s="542">
        <f t="shared" si="40"/>
        <v>260805.71419006347</v>
      </c>
      <c r="J130" s="478">
        <f t="shared" si="25"/>
        <v>0</v>
      </c>
      <c r="K130" s="478"/>
      <c r="L130" s="487"/>
      <c r="M130" s="478">
        <f t="shared" si="27"/>
        <v>0</v>
      </c>
      <c r="N130" s="487"/>
      <c r="O130" s="478">
        <f t="shared" si="29"/>
        <v>0</v>
      </c>
      <c r="P130" s="478">
        <f t="shared" si="30"/>
        <v>0</v>
      </c>
    </row>
    <row r="131" spans="2:16">
      <c r="B131" s="160" t="str">
        <f t="shared" si="31"/>
        <v/>
      </c>
      <c r="C131" s="472">
        <f>IF(D93="","-",+C130+1)</f>
        <v>2041</v>
      </c>
      <c r="D131" s="346">
        <f>IF(F130+SUM(E$99:E130)=D$92,F130,D$92-SUM(E$99:E130))</f>
        <v>1327762.1399999997</v>
      </c>
      <c r="E131" s="486">
        <f>IF(+J96&lt;F130,J96,D131)</f>
        <v>111640</v>
      </c>
      <c r="F131" s="485">
        <f t="shared" ref="F131:F154" si="41">+D131-E131</f>
        <v>1216122.1399999997</v>
      </c>
      <c r="G131" s="485">
        <f t="shared" ref="G131:G154" si="42">+(F131+D131)/2</f>
        <v>1271942.1399999997</v>
      </c>
      <c r="H131" s="488">
        <f t="shared" si="39"/>
        <v>248769.66670814189</v>
      </c>
      <c r="I131" s="542">
        <f t="shared" si="40"/>
        <v>248769.66670814189</v>
      </c>
      <c r="J131" s="478">
        <f t="shared" ref="J131:J154" si="43">+I131-H131</f>
        <v>0</v>
      </c>
      <c r="K131" s="478"/>
      <c r="L131" s="487"/>
      <c r="M131" s="478">
        <f t="shared" ref="M131:M154" si="44">IF(L131&lt;&gt;0,+H131-L131,0)</f>
        <v>0</v>
      </c>
      <c r="N131" s="487"/>
      <c r="O131" s="478">
        <f t="shared" ref="O131:O154" si="45">IF(N131&lt;&gt;0,+I131-N131,0)</f>
        <v>0</v>
      </c>
      <c r="P131" s="478">
        <f t="shared" ref="P131:P154" si="46">+O131-M131</f>
        <v>0</v>
      </c>
    </row>
    <row r="132" spans="2:16">
      <c r="B132" s="160" t="str">
        <f t="shared" si="31"/>
        <v/>
      </c>
      <c r="C132" s="472">
        <f>IF(D93="","-",+C131+1)</f>
        <v>2042</v>
      </c>
      <c r="D132" s="346">
        <f>IF(F131+SUM(E$99:E131)=D$92,F131,D$92-SUM(E$99:E131))</f>
        <v>1216122.1399999997</v>
      </c>
      <c r="E132" s="486">
        <f>IF(+J96&lt;F131,J96,D132)</f>
        <v>111640</v>
      </c>
      <c r="F132" s="485">
        <f t="shared" si="41"/>
        <v>1104482.1399999997</v>
      </c>
      <c r="G132" s="485">
        <f t="shared" si="42"/>
        <v>1160302.1399999997</v>
      </c>
      <c r="H132" s="488">
        <f t="shared" si="39"/>
        <v>236733.6192262203</v>
      </c>
      <c r="I132" s="542">
        <f t="shared" si="40"/>
        <v>236733.6192262203</v>
      </c>
      <c r="J132" s="478">
        <f t="shared" si="43"/>
        <v>0</v>
      </c>
      <c r="K132" s="478"/>
      <c r="L132" s="487"/>
      <c r="M132" s="478">
        <f t="shared" si="44"/>
        <v>0</v>
      </c>
      <c r="N132" s="487"/>
      <c r="O132" s="478">
        <f t="shared" si="45"/>
        <v>0</v>
      </c>
      <c r="P132" s="478">
        <f t="shared" si="46"/>
        <v>0</v>
      </c>
    </row>
    <row r="133" spans="2:16">
      <c r="B133" s="160" t="str">
        <f t="shared" si="31"/>
        <v/>
      </c>
      <c r="C133" s="472">
        <f>IF(D93="","-",+C132+1)</f>
        <v>2043</v>
      </c>
      <c r="D133" s="346">
        <f>IF(F132+SUM(E$99:E132)=D$92,F132,D$92-SUM(E$99:E132))</f>
        <v>1104482.1399999997</v>
      </c>
      <c r="E133" s="486">
        <f>IF(+J96&lt;F132,J96,D133)</f>
        <v>111640</v>
      </c>
      <c r="F133" s="485">
        <f t="shared" si="41"/>
        <v>992842.13999999966</v>
      </c>
      <c r="G133" s="485">
        <f t="shared" si="42"/>
        <v>1048662.1399999997</v>
      </c>
      <c r="H133" s="488">
        <f t="shared" si="39"/>
        <v>224697.57174429868</v>
      </c>
      <c r="I133" s="542">
        <f t="shared" si="40"/>
        <v>224697.57174429868</v>
      </c>
      <c r="J133" s="478">
        <f t="shared" si="43"/>
        <v>0</v>
      </c>
      <c r="K133" s="478"/>
      <c r="L133" s="487"/>
      <c r="M133" s="478">
        <f t="shared" si="44"/>
        <v>0</v>
      </c>
      <c r="N133" s="487"/>
      <c r="O133" s="478">
        <f t="shared" si="45"/>
        <v>0</v>
      </c>
      <c r="P133" s="478">
        <f t="shared" si="46"/>
        <v>0</v>
      </c>
    </row>
    <row r="134" spans="2:16">
      <c r="B134" s="160" t="str">
        <f t="shared" si="31"/>
        <v/>
      </c>
      <c r="C134" s="472">
        <f>IF(D93="","-",+C133+1)</f>
        <v>2044</v>
      </c>
      <c r="D134" s="346">
        <f>IF(F133+SUM(E$99:E133)=D$92,F133,D$92-SUM(E$99:E133))</f>
        <v>992842.13999999966</v>
      </c>
      <c r="E134" s="486">
        <f>IF(+J96&lt;F133,J96,D134)</f>
        <v>111640</v>
      </c>
      <c r="F134" s="485">
        <f t="shared" si="41"/>
        <v>881202.13999999966</v>
      </c>
      <c r="G134" s="485">
        <f t="shared" si="42"/>
        <v>937022.13999999966</v>
      </c>
      <c r="H134" s="488">
        <f t="shared" si="39"/>
        <v>212661.52426237709</v>
      </c>
      <c r="I134" s="542">
        <f t="shared" si="40"/>
        <v>212661.52426237709</v>
      </c>
      <c r="J134" s="478">
        <f t="shared" si="43"/>
        <v>0</v>
      </c>
      <c r="K134" s="478"/>
      <c r="L134" s="487"/>
      <c r="M134" s="478">
        <f t="shared" si="44"/>
        <v>0</v>
      </c>
      <c r="N134" s="487"/>
      <c r="O134" s="478">
        <f t="shared" si="45"/>
        <v>0</v>
      </c>
      <c r="P134" s="478">
        <f t="shared" si="46"/>
        <v>0</v>
      </c>
    </row>
    <row r="135" spans="2:16">
      <c r="B135" s="160" t="str">
        <f t="shared" si="31"/>
        <v/>
      </c>
      <c r="C135" s="472">
        <f>IF(D93="","-",+C134+1)</f>
        <v>2045</v>
      </c>
      <c r="D135" s="346">
        <f>IF(F134+SUM(E$99:E134)=D$92,F134,D$92-SUM(E$99:E134))</f>
        <v>881202.13999999966</v>
      </c>
      <c r="E135" s="486">
        <f>IF(+J96&lt;F134,J96,D135)</f>
        <v>111640</v>
      </c>
      <c r="F135" s="485">
        <f t="shared" si="41"/>
        <v>769562.13999999966</v>
      </c>
      <c r="G135" s="485">
        <f t="shared" si="42"/>
        <v>825382.13999999966</v>
      </c>
      <c r="H135" s="488">
        <f t="shared" si="39"/>
        <v>200625.4767804555</v>
      </c>
      <c r="I135" s="542">
        <f t="shared" si="40"/>
        <v>200625.4767804555</v>
      </c>
      <c r="J135" s="478">
        <f t="shared" si="43"/>
        <v>0</v>
      </c>
      <c r="K135" s="478"/>
      <c r="L135" s="487"/>
      <c r="M135" s="478">
        <f t="shared" si="44"/>
        <v>0</v>
      </c>
      <c r="N135" s="487"/>
      <c r="O135" s="478">
        <f t="shared" si="45"/>
        <v>0</v>
      </c>
      <c r="P135" s="478">
        <f t="shared" si="46"/>
        <v>0</v>
      </c>
    </row>
    <row r="136" spans="2:16">
      <c r="B136" s="160" t="str">
        <f t="shared" si="31"/>
        <v/>
      </c>
      <c r="C136" s="472">
        <f>IF(D93="","-",+C135+1)</f>
        <v>2046</v>
      </c>
      <c r="D136" s="346">
        <f>IF(F135+SUM(E$99:E135)=D$92,F135,D$92-SUM(E$99:E135))</f>
        <v>769562.13999999966</v>
      </c>
      <c r="E136" s="486">
        <f>IF(+J96&lt;F135,J96,D136)</f>
        <v>111640</v>
      </c>
      <c r="F136" s="485">
        <f t="shared" si="41"/>
        <v>657922.13999999966</v>
      </c>
      <c r="G136" s="485">
        <f t="shared" si="42"/>
        <v>713742.13999999966</v>
      </c>
      <c r="H136" s="488">
        <f t="shared" si="39"/>
        <v>188589.42929853391</v>
      </c>
      <c r="I136" s="542">
        <f t="shared" si="40"/>
        <v>188589.42929853391</v>
      </c>
      <c r="J136" s="478">
        <f t="shared" si="43"/>
        <v>0</v>
      </c>
      <c r="K136" s="478"/>
      <c r="L136" s="487"/>
      <c r="M136" s="478">
        <f t="shared" si="44"/>
        <v>0</v>
      </c>
      <c r="N136" s="487"/>
      <c r="O136" s="478">
        <f t="shared" si="45"/>
        <v>0</v>
      </c>
      <c r="P136" s="478">
        <f t="shared" si="46"/>
        <v>0</v>
      </c>
    </row>
    <row r="137" spans="2:16">
      <c r="B137" s="160" t="str">
        <f t="shared" si="31"/>
        <v/>
      </c>
      <c r="C137" s="472">
        <f>IF(D93="","-",+C136+1)</f>
        <v>2047</v>
      </c>
      <c r="D137" s="346">
        <f>IF(F136+SUM(E$99:E136)=D$92,F136,D$92-SUM(E$99:E136))</f>
        <v>657922.13999999966</v>
      </c>
      <c r="E137" s="486">
        <f>IF(+J96&lt;F136,J96,D137)</f>
        <v>111640</v>
      </c>
      <c r="F137" s="485">
        <f t="shared" si="41"/>
        <v>546282.13999999966</v>
      </c>
      <c r="G137" s="485">
        <f t="shared" si="42"/>
        <v>602102.13999999966</v>
      </c>
      <c r="H137" s="488">
        <f t="shared" si="39"/>
        <v>176553.38181661232</v>
      </c>
      <c r="I137" s="542">
        <f t="shared" si="40"/>
        <v>176553.38181661232</v>
      </c>
      <c r="J137" s="478">
        <f t="shared" si="43"/>
        <v>0</v>
      </c>
      <c r="K137" s="478"/>
      <c r="L137" s="487"/>
      <c r="M137" s="478">
        <f t="shared" si="44"/>
        <v>0</v>
      </c>
      <c r="N137" s="487"/>
      <c r="O137" s="478">
        <f t="shared" si="45"/>
        <v>0</v>
      </c>
      <c r="P137" s="478">
        <f t="shared" si="46"/>
        <v>0</v>
      </c>
    </row>
    <row r="138" spans="2:16">
      <c r="B138" s="160" t="str">
        <f t="shared" si="31"/>
        <v/>
      </c>
      <c r="C138" s="472">
        <f>IF(D93="","-",+C137+1)</f>
        <v>2048</v>
      </c>
      <c r="D138" s="346">
        <f>IF(F137+SUM(E$99:E137)=D$92,F137,D$92-SUM(E$99:E137))</f>
        <v>546282.13999999966</v>
      </c>
      <c r="E138" s="486">
        <f>IF(+J96&lt;F137,J96,D138)</f>
        <v>111640</v>
      </c>
      <c r="F138" s="485">
        <f t="shared" si="41"/>
        <v>434642.13999999966</v>
      </c>
      <c r="G138" s="485">
        <f t="shared" si="42"/>
        <v>490462.13999999966</v>
      </c>
      <c r="H138" s="488">
        <f t="shared" si="39"/>
        <v>164517.33433469071</v>
      </c>
      <c r="I138" s="542">
        <f t="shared" si="40"/>
        <v>164517.33433469071</v>
      </c>
      <c r="J138" s="478">
        <f t="shared" si="43"/>
        <v>0</v>
      </c>
      <c r="K138" s="478"/>
      <c r="L138" s="487"/>
      <c r="M138" s="478">
        <f t="shared" si="44"/>
        <v>0</v>
      </c>
      <c r="N138" s="487"/>
      <c r="O138" s="478">
        <f t="shared" si="45"/>
        <v>0</v>
      </c>
      <c r="P138" s="478">
        <f t="shared" si="46"/>
        <v>0</v>
      </c>
    </row>
    <row r="139" spans="2:16">
      <c r="B139" s="160" t="str">
        <f t="shared" si="31"/>
        <v/>
      </c>
      <c r="C139" s="472">
        <f>IF(D93="","-",+C138+1)</f>
        <v>2049</v>
      </c>
      <c r="D139" s="346">
        <f>IF(F138+SUM(E$99:E138)=D$92,F138,D$92-SUM(E$99:E138))</f>
        <v>434642.13999999966</v>
      </c>
      <c r="E139" s="486">
        <f>IF(+J96&lt;F138,J96,D139)</f>
        <v>111640</v>
      </c>
      <c r="F139" s="485">
        <f t="shared" si="41"/>
        <v>323002.13999999966</v>
      </c>
      <c r="G139" s="485">
        <f t="shared" si="42"/>
        <v>378822.13999999966</v>
      </c>
      <c r="H139" s="488">
        <f t="shared" si="39"/>
        <v>152481.28685276912</v>
      </c>
      <c r="I139" s="542">
        <f t="shared" si="40"/>
        <v>152481.28685276912</v>
      </c>
      <c r="J139" s="478">
        <f t="shared" si="43"/>
        <v>0</v>
      </c>
      <c r="K139" s="478"/>
      <c r="L139" s="487"/>
      <c r="M139" s="478">
        <f t="shared" si="44"/>
        <v>0</v>
      </c>
      <c r="N139" s="487"/>
      <c r="O139" s="478">
        <f t="shared" si="45"/>
        <v>0</v>
      </c>
      <c r="P139" s="478">
        <f t="shared" si="46"/>
        <v>0</v>
      </c>
    </row>
    <row r="140" spans="2:16">
      <c r="B140" s="160" t="str">
        <f t="shared" si="31"/>
        <v/>
      </c>
      <c r="C140" s="472">
        <f>IF(D93="","-",+C139+1)</f>
        <v>2050</v>
      </c>
      <c r="D140" s="346">
        <f>IF(F139+SUM(E$99:E139)=D$92,F139,D$92-SUM(E$99:E139))</f>
        <v>323002.13999999966</v>
      </c>
      <c r="E140" s="486">
        <f>IF(+J96&lt;F139,J96,D140)</f>
        <v>111640</v>
      </c>
      <c r="F140" s="485">
        <f t="shared" si="41"/>
        <v>211362.13999999966</v>
      </c>
      <c r="G140" s="485">
        <f t="shared" si="42"/>
        <v>267182.13999999966</v>
      </c>
      <c r="H140" s="488">
        <f t="shared" si="39"/>
        <v>140445.23937084753</v>
      </c>
      <c r="I140" s="542">
        <f t="shared" si="40"/>
        <v>140445.23937084753</v>
      </c>
      <c r="J140" s="478">
        <f t="shared" si="43"/>
        <v>0</v>
      </c>
      <c r="K140" s="478"/>
      <c r="L140" s="487"/>
      <c r="M140" s="478">
        <f t="shared" si="44"/>
        <v>0</v>
      </c>
      <c r="N140" s="487"/>
      <c r="O140" s="478">
        <f t="shared" si="45"/>
        <v>0</v>
      </c>
      <c r="P140" s="478">
        <f t="shared" si="46"/>
        <v>0</v>
      </c>
    </row>
    <row r="141" spans="2:16">
      <c r="B141" s="160" t="str">
        <f t="shared" si="31"/>
        <v/>
      </c>
      <c r="C141" s="472">
        <f>IF(D93="","-",+C140+1)</f>
        <v>2051</v>
      </c>
      <c r="D141" s="346">
        <f>IF(F140+SUM(E$99:E140)=D$92,F140,D$92-SUM(E$99:E140))</f>
        <v>211362.13999999966</v>
      </c>
      <c r="E141" s="486">
        <f>IF(+J96&lt;F140,J96,D141)</f>
        <v>111640</v>
      </c>
      <c r="F141" s="485">
        <f t="shared" si="41"/>
        <v>99722.139999999665</v>
      </c>
      <c r="G141" s="485">
        <f t="shared" si="42"/>
        <v>155542.13999999966</v>
      </c>
      <c r="H141" s="488">
        <f t="shared" si="39"/>
        <v>128409.19188892594</v>
      </c>
      <c r="I141" s="542">
        <f t="shared" si="40"/>
        <v>128409.19188892594</v>
      </c>
      <c r="J141" s="478">
        <f t="shared" si="43"/>
        <v>0</v>
      </c>
      <c r="K141" s="478"/>
      <c r="L141" s="487"/>
      <c r="M141" s="478">
        <f t="shared" si="44"/>
        <v>0</v>
      </c>
      <c r="N141" s="487"/>
      <c r="O141" s="478">
        <f t="shared" si="45"/>
        <v>0</v>
      </c>
      <c r="P141" s="478">
        <f t="shared" si="46"/>
        <v>0</v>
      </c>
    </row>
    <row r="142" spans="2:16">
      <c r="B142" s="160" t="str">
        <f t="shared" si="31"/>
        <v/>
      </c>
      <c r="C142" s="472">
        <f>IF(D93="","-",+C141+1)</f>
        <v>2052</v>
      </c>
      <c r="D142" s="346">
        <f>IF(F141+SUM(E$99:E141)=D$92,F141,D$92-SUM(E$99:E141))</f>
        <v>99722.139999999665</v>
      </c>
      <c r="E142" s="486">
        <f>IF(+J96&lt;F141,J96,D142)</f>
        <v>99722.139999999665</v>
      </c>
      <c r="F142" s="485">
        <f t="shared" si="41"/>
        <v>0</v>
      </c>
      <c r="G142" s="485">
        <f t="shared" si="42"/>
        <v>49861.069999999832</v>
      </c>
      <c r="H142" s="488">
        <f t="shared" si="39"/>
        <v>105097.72407398223</v>
      </c>
      <c r="I142" s="542">
        <f t="shared" si="40"/>
        <v>105097.72407398223</v>
      </c>
      <c r="J142" s="478">
        <f t="shared" si="43"/>
        <v>0</v>
      </c>
      <c r="K142" s="478"/>
      <c r="L142" s="487"/>
      <c r="M142" s="478">
        <f t="shared" si="44"/>
        <v>0</v>
      </c>
      <c r="N142" s="487"/>
      <c r="O142" s="478">
        <f t="shared" si="45"/>
        <v>0</v>
      </c>
      <c r="P142" s="478">
        <f t="shared" si="46"/>
        <v>0</v>
      </c>
    </row>
    <row r="143" spans="2:16">
      <c r="B143" s="160" t="str">
        <f t="shared" si="31"/>
        <v/>
      </c>
      <c r="C143" s="472">
        <f>IF(D93="","-",+C142+1)</f>
        <v>2053</v>
      </c>
      <c r="D143" s="346">
        <f>IF(F142+SUM(E$99:E142)=D$92,F142,D$92-SUM(E$99:E142))</f>
        <v>0</v>
      </c>
      <c r="E143" s="486">
        <f>IF(+J96&lt;F142,J96,D143)</f>
        <v>0</v>
      </c>
      <c r="F143" s="485">
        <f t="shared" si="41"/>
        <v>0</v>
      </c>
      <c r="G143" s="485">
        <f t="shared" si="42"/>
        <v>0</v>
      </c>
      <c r="H143" s="488">
        <f t="shared" si="39"/>
        <v>0</v>
      </c>
      <c r="I143" s="542">
        <f t="shared" si="40"/>
        <v>0</v>
      </c>
      <c r="J143" s="478">
        <f t="shared" si="43"/>
        <v>0</v>
      </c>
      <c r="K143" s="478"/>
      <c r="L143" s="487"/>
      <c r="M143" s="478">
        <f t="shared" si="44"/>
        <v>0</v>
      </c>
      <c r="N143" s="487"/>
      <c r="O143" s="478">
        <f t="shared" si="45"/>
        <v>0</v>
      </c>
      <c r="P143" s="478">
        <f t="shared" si="46"/>
        <v>0</v>
      </c>
    </row>
    <row r="144" spans="2:16">
      <c r="B144" s="160" t="str">
        <f t="shared" si="31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1"/>
        <v>0</v>
      </c>
      <c r="G144" s="485">
        <f t="shared" si="42"/>
        <v>0</v>
      </c>
      <c r="H144" s="488">
        <f t="shared" si="39"/>
        <v>0</v>
      </c>
      <c r="I144" s="542">
        <f t="shared" si="40"/>
        <v>0</v>
      </c>
      <c r="J144" s="478">
        <f t="shared" si="43"/>
        <v>0</v>
      </c>
      <c r="K144" s="478"/>
      <c r="L144" s="487"/>
      <c r="M144" s="478">
        <f t="shared" si="44"/>
        <v>0</v>
      </c>
      <c r="N144" s="487"/>
      <c r="O144" s="478">
        <f t="shared" si="45"/>
        <v>0</v>
      </c>
      <c r="P144" s="478">
        <f t="shared" si="46"/>
        <v>0</v>
      </c>
    </row>
    <row r="145" spans="2:16">
      <c r="B145" s="160" t="str">
        <f t="shared" si="31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1"/>
        <v>0</v>
      </c>
      <c r="G145" s="485">
        <f t="shared" si="42"/>
        <v>0</v>
      </c>
      <c r="H145" s="488">
        <f t="shared" si="39"/>
        <v>0</v>
      </c>
      <c r="I145" s="542">
        <f t="shared" si="40"/>
        <v>0</v>
      </c>
      <c r="J145" s="478">
        <f t="shared" si="43"/>
        <v>0</v>
      </c>
      <c r="K145" s="478"/>
      <c r="L145" s="487"/>
      <c r="M145" s="478">
        <f t="shared" si="44"/>
        <v>0</v>
      </c>
      <c r="N145" s="487"/>
      <c r="O145" s="478">
        <f t="shared" si="45"/>
        <v>0</v>
      </c>
      <c r="P145" s="478">
        <f t="shared" si="46"/>
        <v>0</v>
      </c>
    </row>
    <row r="146" spans="2:16">
      <c r="B146" s="160" t="str">
        <f t="shared" si="31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1"/>
        <v>0</v>
      </c>
      <c r="G146" s="485">
        <f t="shared" si="42"/>
        <v>0</v>
      </c>
      <c r="H146" s="488">
        <f t="shared" si="39"/>
        <v>0</v>
      </c>
      <c r="I146" s="542">
        <f t="shared" si="40"/>
        <v>0</v>
      </c>
      <c r="J146" s="478">
        <f t="shared" si="43"/>
        <v>0</v>
      </c>
      <c r="K146" s="478"/>
      <c r="L146" s="487"/>
      <c r="M146" s="478">
        <f t="shared" si="44"/>
        <v>0</v>
      </c>
      <c r="N146" s="487"/>
      <c r="O146" s="478">
        <f t="shared" si="45"/>
        <v>0</v>
      </c>
      <c r="P146" s="478">
        <f t="shared" si="46"/>
        <v>0</v>
      </c>
    </row>
    <row r="147" spans="2:16">
      <c r="B147" s="160" t="str">
        <f t="shared" si="31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1"/>
        <v>0</v>
      </c>
      <c r="G147" s="485">
        <f t="shared" si="42"/>
        <v>0</v>
      </c>
      <c r="H147" s="488">
        <f t="shared" si="39"/>
        <v>0</v>
      </c>
      <c r="I147" s="542">
        <f t="shared" si="40"/>
        <v>0</v>
      </c>
      <c r="J147" s="478">
        <f t="shared" si="43"/>
        <v>0</v>
      </c>
      <c r="K147" s="478"/>
      <c r="L147" s="487"/>
      <c r="M147" s="478">
        <f t="shared" si="44"/>
        <v>0</v>
      </c>
      <c r="N147" s="487"/>
      <c r="O147" s="478">
        <f t="shared" si="45"/>
        <v>0</v>
      </c>
      <c r="P147" s="478">
        <f t="shared" si="46"/>
        <v>0</v>
      </c>
    </row>
    <row r="148" spans="2:16">
      <c r="B148" s="160" t="str">
        <f t="shared" si="31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1"/>
        <v>0</v>
      </c>
      <c r="G148" s="485">
        <f t="shared" si="42"/>
        <v>0</v>
      </c>
      <c r="H148" s="488">
        <f t="shared" si="39"/>
        <v>0</v>
      </c>
      <c r="I148" s="542">
        <f t="shared" si="40"/>
        <v>0</v>
      </c>
      <c r="J148" s="478">
        <f t="shared" si="43"/>
        <v>0</v>
      </c>
      <c r="K148" s="478"/>
      <c r="L148" s="487"/>
      <c r="M148" s="478">
        <f t="shared" si="44"/>
        <v>0</v>
      </c>
      <c r="N148" s="487"/>
      <c r="O148" s="478">
        <f t="shared" si="45"/>
        <v>0</v>
      </c>
      <c r="P148" s="478">
        <f t="shared" si="46"/>
        <v>0</v>
      </c>
    </row>
    <row r="149" spans="2:16">
      <c r="B149" s="160" t="str">
        <f t="shared" si="31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1"/>
        <v>0</v>
      </c>
      <c r="G149" s="485">
        <f t="shared" si="42"/>
        <v>0</v>
      </c>
      <c r="H149" s="488">
        <f t="shared" si="39"/>
        <v>0</v>
      </c>
      <c r="I149" s="542">
        <f t="shared" si="40"/>
        <v>0</v>
      </c>
      <c r="J149" s="478">
        <f t="shared" si="43"/>
        <v>0</v>
      </c>
      <c r="K149" s="478"/>
      <c r="L149" s="487"/>
      <c r="M149" s="478">
        <f t="shared" si="44"/>
        <v>0</v>
      </c>
      <c r="N149" s="487"/>
      <c r="O149" s="478">
        <f t="shared" si="45"/>
        <v>0</v>
      </c>
      <c r="P149" s="478">
        <f t="shared" si="46"/>
        <v>0</v>
      </c>
    </row>
    <row r="150" spans="2:16">
      <c r="B150" s="160" t="str">
        <f t="shared" si="31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1"/>
        <v>0</v>
      </c>
      <c r="G150" s="485">
        <f t="shared" si="42"/>
        <v>0</v>
      </c>
      <c r="H150" s="488">
        <f t="shared" si="39"/>
        <v>0</v>
      </c>
      <c r="I150" s="542">
        <f t="shared" si="40"/>
        <v>0</v>
      </c>
      <c r="J150" s="478">
        <f t="shared" si="43"/>
        <v>0</v>
      </c>
      <c r="K150" s="478"/>
      <c r="L150" s="487"/>
      <c r="M150" s="478">
        <f t="shared" si="44"/>
        <v>0</v>
      </c>
      <c r="N150" s="487"/>
      <c r="O150" s="478">
        <f t="shared" si="45"/>
        <v>0</v>
      </c>
      <c r="P150" s="478">
        <f t="shared" si="46"/>
        <v>0</v>
      </c>
    </row>
    <row r="151" spans="2:16">
      <c r="B151" s="160" t="str">
        <f t="shared" si="31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1"/>
        <v>0</v>
      </c>
      <c r="G151" s="485">
        <f t="shared" si="42"/>
        <v>0</v>
      </c>
      <c r="H151" s="488">
        <f t="shared" si="39"/>
        <v>0</v>
      </c>
      <c r="I151" s="542">
        <f t="shared" si="40"/>
        <v>0</v>
      </c>
      <c r="J151" s="478">
        <f t="shared" si="43"/>
        <v>0</v>
      </c>
      <c r="K151" s="478"/>
      <c r="L151" s="487"/>
      <c r="M151" s="478">
        <f t="shared" si="44"/>
        <v>0</v>
      </c>
      <c r="N151" s="487"/>
      <c r="O151" s="478">
        <f t="shared" si="45"/>
        <v>0</v>
      </c>
      <c r="P151" s="478">
        <f t="shared" si="46"/>
        <v>0</v>
      </c>
    </row>
    <row r="152" spans="2:16">
      <c r="B152" s="160" t="str">
        <f t="shared" si="31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1"/>
        <v>0</v>
      </c>
      <c r="G152" s="485">
        <f t="shared" si="42"/>
        <v>0</v>
      </c>
      <c r="H152" s="488">
        <f t="shared" si="39"/>
        <v>0</v>
      </c>
      <c r="I152" s="542">
        <f t="shared" si="40"/>
        <v>0</v>
      </c>
      <c r="J152" s="478">
        <f t="shared" si="43"/>
        <v>0</v>
      </c>
      <c r="K152" s="478"/>
      <c r="L152" s="487"/>
      <c r="M152" s="478">
        <f t="shared" si="44"/>
        <v>0</v>
      </c>
      <c r="N152" s="487"/>
      <c r="O152" s="478">
        <f t="shared" si="45"/>
        <v>0</v>
      </c>
      <c r="P152" s="478">
        <f t="shared" si="46"/>
        <v>0</v>
      </c>
    </row>
    <row r="153" spans="2:16">
      <c r="B153" s="160" t="str">
        <f t="shared" si="31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1"/>
        <v>0</v>
      </c>
      <c r="G153" s="485">
        <f t="shared" si="42"/>
        <v>0</v>
      </c>
      <c r="H153" s="488">
        <f t="shared" si="39"/>
        <v>0</v>
      </c>
      <c r="I153" s="542">
        <f t="shared" si="40"/>
        <v>0</v>
      </c>
      <c r="J153" s="478">
        <f t="shared" si="43"/>
        <v>0</v>
      </c>
      <c r="K153" s="478"/>
      <c r="L153" s="487"/>
      <c r="M153" s="478">
        <f t="shared" si="44"/>
        <v>0</v>
      </c>
      <c r="N153" s="487"/>
      <c r="O153" s="478">
        <f t="shared" si="45"/>
        <v>0</v>
      </c>
      <c r="P153" s="478">
        <f t="shared" si="46"/>
        <v>0</v>
      </c>
    </row>
    <row r="154" spans="2:16" ht="13.5" thickBot="1">
      <c r="B154" s="160" t="str">
        <f t="shared" si="31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1"/>
        <v>0</v>
      </c>
      <c r="G154" s="490">
        <f t="shared" si="42"/>
        <v>0</v>
      </c>
      <c r="H154" s="492">
        <f t="shared" si="39"/>
        <v>0</v>
      </c>
      <c r="I154" s="545">
        <f t="shared" si="40"/>
        <v>0</v>
      </c>
      <c r="J154" s="495">
        <f t="shared" si="43"/>
        <v>0</v>
      </c>
      <c r="K154" s="478"/>
      <c r="L154" s="494"/>
      <c r="M154" s="495">
        <f t="shared" si="44"/>
        <v>0</v>
      </c>
      <c r="N154" s="494"/>
      <c r="O154" s="495">
        <f t="shared" si="45"/>
        <v>0</v>
      </c>
      <c r="P154" s="495">
        <f t="shared" si="46"/>
        <v>0</v>
      </c>
    </row>
    <row r="155" spans="2:16">
      <c r="C155" s="346" t="s">
        <v>77</v>
      </c>
      <c r="D155" s="347"/>
      <c r="E155" s="347">
        <f>SUM(E99:E154)</f>
        <v>4688896.1399999997</v>
      </c>
      <c r="F155" s="347"/>
      <c r="G155" s="347"/>
      <c r="H155" s="347">
        <f>SUM(H99:H154)</f>
        <v>17155391.433376968</v>
      </c>
      <c r="I155" s="347">
        <f>SUM(I99:I154)</f>
        <v>17155391.433376968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4" priority="1" stopIfTrue="1" operator="equal">
      <formula>$I$10</formula>
    </cfRule>
  </conditionalFormatting>
  <conditionalFormatting sqref="C99:C154">
    <cfRule type="cellIs" dxfId="63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P162"/>
  <sheetViews>
    <sheetView view="pageBreakPreview" zoomScale="75" zoomScaleNormal="100" zoomScaleSheetLayoutView="75" workbookViewId="0">
      <selection activeCell="G27" sqref="G27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3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1158897.5538764906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1158897.5538764906</v>
      </c>
      <c r="O6" s="232"/>
      <c r="P6" s="232"/>
    </row>
    <row r="7" spans="1:16" ht="13.5" thickBot="1">
      <c r="C7" s="431" t="s">
        <v>46</v>
      </c>
      <c r="D7" s="432" t="s">
        <v>208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81</v>
      </c>
      <c r="E9" s="577" t="s">
        <v>352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11456065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2009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10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272763.45238095237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C17" s="472">
        <f>IF(D11= "","-",D11)</f>
        <v>2009</v>
      </c>
      <c r="D17" s="473">
        <v>9403820</v>
      </c>
      <c r="E17" s="474">
        <v>29572</v>
      </c>
      <c r="F17" s="473">
        <v>9374248</v>
      </c>
      <c r="G17" s="474">
        <v>388620</v>
      </c>
      <c r="H17" s="474">
        <v>388620</v>
      </c>
      <c r="I17" s="475">
        <f t="shared" ref="I17:I48" si="0">H17-G17</f>
        <v>0</v>
      </c>
      <c r="J17" s="475"/>
      <c r="K17" s="476">
        <v>388620</v>
      </c>
      <c r="L17" s="477">
        <f t="shared" ref="L17:L48" si="1">IF(K17&lt;&gt;0,+G17-K17,0)</f>
        <v>0</v>
      </c>
      <c r="M17" s="476">
        <v>388620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2010</v>
      </c>
      <c r="D18" s="479">
        <v>12236959</v>
      </c>
      <c r="E18" s="480">
        <v>219045</v>
      </c>
      <c r="F18" s="479">
        <v>12017913</v>
      </c>
      <c r="G18" s="480">
        <v>1953188</v>
      </c>
      <c r="H18" s="481">
        <v>1953188</v>
      </c>
      <c r="I18" s="475">
        <f t="shared" si="0"/>
        <v>0</v>
      </c>
      <c r="J18" s="475"/>
      <c r="K18" s="476">
        <f t="shared" ref="K18:K23" si="4">G18</f>
        <v>1953188</v>
      </c>
      <c r="L18" s="550">
        <f t="shared" si="1"/>
        <v>0</v>
      </c>
      <c r="M18" s="476">
        <f t="shared" ref="M18:M23" si="5">H18</f>
        <v>1953188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2011</v>
      </c>
      <c r="D19" s="479">
        <v>11983531</v>
      </c>
      <c r="E19" s="480">
        <v>239846.03921568627</v>
      </c>
      <c r="F19" s="479">
        <v>11743684.960784314</v>
      </c>
      <c r="G19" s="480">
        <v>2078241.729976739</v>
      </c>
      <c r="H19" s="481">
        <v>2078241.729976739</v>
      </c>
      <c r="I19" s="475">
        <f t="shared" si="0"/>
        <v>0</v>
      </c>
      <c r="J19" s="475"/>
      <c r="K19" s="476">
        <f t="shared" si="4"/>
        <v>2078241.729976739</v>
      </c>
      <c r="L19" s="550">
        <f t="shared" si="1"/>
        <v>0</v>
      </c>
      <c r="M19" s="476">
        <f t="shared" si="5"/>
        <v>2078241.729976739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6">IF(D20=F19,"","IU")</f>
        <v/>
      </c>
      <c r="C20" s="472">
        <f>IF(D11="","-",+C19+1)</f>
        <v>2012</v>
      </c>
      <c r="D20" s="479">
        <v>11743684.960784314</v>
      </c>
      <c r="E20" s="480">
        <v>235233.61538461538</v>
      </c>
      <c r="F20" s="479">
        <v>11508451.345399698</v>
      </c>
      <c r="G20" s="480">
        <v>1837287.5395832672</v>
      </c>
      <c r="H20" s="481">
        <v>1837287.5395832672</v>
      </c>
      <c r="I20" s="475">
        <f t="shared" si="0"/>
        <v>0</v>
      </c>
      <c r="J20" s="475"/>
      <c r="K20" s="476">
        <f t="shared" si="4"/>
        <v>1837287.5395832672</v>
      </c>
      <c r="L20" s="550">
        <f t="shared" si="1"/>
        <v>0</v>
      </c>
      <c r="M20" s="476">
        <f t="shared" si="5"/>
        <v>1837287.5395832672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6"/>
        <v/>
      </c>
      <c r="C21" s="472">
        <f>IF(D12="","-",+C20+1)</f>
        <v>2013</v>
      </c>
      <c r="D21" s="479">
        <v>11508451.345399698</v>
      </c>
      <c r="E21" s="480">
        <v>235233.61538461538</v>
      </c>
      <c r="F21" s="479">
        <v>11273217.730015082</v>
      </c>
      <c r="G21" s="480">
        <v>1845125.3182548014</v>
      </c>
      <c r="H21" s="481">
        <v>1845125.3182548014</v>
      </c>
      <c r="I21" s="475">
        <v>0</v>
      </c>
      <c r="J21" s="475"/>
      <c r="K21" s="476">
        <f t="shared" si="4"/>
        <v>1845125.3182548014</v>
      </c>
      <c r="L21" s="550">
        <f t="shared" ref="L21:L26" si="7">IF(K21&lt;&gt;0,+G21-K21,0)</f>
        <v>0</v>
      </c>
      <c r="M21" s="476">
        <f t="shared" si="5"/>
        <v>1845125.3182548014</v>
      </c>
      <c r="N21" s="478">
        <f t="shared" ref="N21:N26" si="8">IF(M21&lt;&gt;0,+H21-M21,0)</f>
        <v>0</v>
      </c>
      <c r="O21" s="478">
        <f t="shared" ref="O21:O26" si="9">+N21-L21</f>
        <v>0</v>
      </c>
      <c r="P21" s="242"/>
    </row>
    <row r="22" spans="2:16">
      <c r="B22" s="160" t="str">
        <f t="shared" si="6"/>
        <v/>
      </c>
      <c r="C22" s="472">
        <f>IF(D11="","-",+C21+1)</f>
        <v>2014</v>
      </c>
      <c r="D22" s="479">
        <v>11273217.730015082</v>
      </c>
      <c r="E22" s="480">
        <v>235233.61538461538</v>
      </c>
      <c r="F22" s="479">
        <v>11037984.114630466</v>
      </c>
      <c r="G22" s="480">
        <v>1754708.9063952654</v>
      </c>
      <c r="H22" s="481">
        <v>1754708.9063952654</v>
      </c>
      <c r="I22" s="475">
        <v>0</v>
      </c>
      <c r="J22" s="475"/>
      <c r="K22" s="476">
        <f t="shared" si="4"/>
        <v>1754708.9063952654</v>
      </c>
      <c r="L22" s="550">
        <f t="shared" si="7"/>
        <v>0</v>
      </c>
      <c r="M22" s="476">
        <f t="shared" si="5"/>
        <v>1754708.9063952654</v>
      </c>
      <c r="N22" s="478">
        <f t="shared" si="8"/>
        <v>0</v>
      </c>
      <c r="O22" s="478">
        <f t="shared" si="9"/>
        <v>0</v>
      </c>
      <c r="P22" s="242"/>
    </row>
    <row r="23" spans="2:16">
      <c r="B23" s="160" t="str">
        <f t="shared" si="6"/>
        <v>IU</v>
      </c>
      <c r="C23" s="472">
        <f>IF(D11="","-",+C22+1)</f>
        <v>2015</v>
      </c>
      <c r="D23" s="479">
        <v>10261901.114630468</v>
      </c>
      <c r="E23" s="480">
        <v>220308.94230769231</v>
      </c>
      <c r="F23" s="479">
        <v>10041592.172322776</v>
      </c>
      <c r="G23" s="480">
        <v>1604759.8916783908</v>
      </c>
      <c r="H23" s="481">
        <v>1604759.8916783908</v>
      </c>
      <c r="I23" s="475">
        <v>0</v>
      </c>
      <c r="J23" s="475"/>
      <c r="K23" s="476">
        <f t="shared" si="4"/>
        <v>1604759.8916783908</v>
      </c>
      <c r="L23" s="550">
        <f t="shared" si="7"/>
        <v>0</v>
      </c>
      <c r="M23" s="476">
        <f t="shared" si="5"/>
        <v>1604759.8916783908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2016</v>
      </c>
      <c r="D24" s="479">
        <v>10041592.172322776</v>
      </c>
      <c r="E24" s="480">
        <v>220308.94230769231</v>
      </c>
      <c r="F24" s="479">
        <v>9821283.2300150841</v>
      </c>
      <c r="G24" s="480">
        <v>1508464.8564289983</v>
      </c>
      <c r="H24" s="481">
        <v>1508464.8564289983</v>
      </c>
      <c r="I24" s="475">
        <f t="shared" si="0"/>
        <v>0</v>
      </c>
      <c r="J24" s="475"/>
      <c r="K24" s="476">
        <f t="shared" ref="K24:K29" si="10">G24</f>
        <v>1508464.8564289983</v>
      </c>
      <c r="L24" s="550">
        <f t="shared" si="7"/>
        <v>0</v>
      </c>
      <c r="M24" s="476">
        <f t="shared" ref="M24:M29" si="11">H24</f>
        <v>1508464.8564289983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2017</v>
      </c>
      <c r="D25" s="479">
        <v>9821283.2300150841</v>
      </c>
      <c r="E25" s="480">
        <v>249044.89130434784</v>
      </c>
      <c r="F25" s="479">
        <v>9572238.3387107365</v>
      </c>
      <c r="G25" s="480">
        <v>1467214.2093174371</v>
      </c>
      <c r="H25" s="481">
        <v>1467214.2093174371</v>
      </c>
      <c r="I25" s="475">
        <f t="shared" si="0"/>
        <v>0</v>
      </c>
      <c r="J25" s="475"/>
      <c r="K25" s="476">
        <f t="shared" si="10"/>
        <v>1467214.2093174371</v>
      </c>
      <c r="L25" s="550">
        <f t="shared" si="7"/>
        <v>0</v>
      </c>
      <c r="M25" s="476">
        <f t="shared" si="11"/>
        <v>1467214.2093174371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2018</v>
      </c>
      <c r="D26" s="479">
        <v>9572238.3387107365</v>
      </c>
      <c r="E26" s="480">
        <v>254579.22222222222</v>
      </c>
      <c r="F26" s="479">
        <v>9317659.1164885145</v>
      </c>
      <c r="G26" s="480">
        <v>1385696.2768787597</v>
      </c>
      <c r="H26" s="481">
        <v>1385696.2768787597</v>
      </c>
      <c r="I26" s="475">
        <f t="shared" si="0"/>
        <v>0</v>
      </c>
      <c r="J26" s="475"/>
      <c r="K26" s="476">
        <f t="shared" si="10"/>
        <v>1385696.2768787597</v>
      </c>
      <c r="L26" s="550">
        <f t="shared" si="7"/>
        <v>0</v>
      </c>
      <c r="M26" s="476">
        <f t="shared" si="11"/>
        <v>1385696.2768787597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2019</v>
      </c>
      <c r="D27" s="479">
        <v>9317659.1164885145</v>
      </c>
      <c r="E27" s="480">
        <v>286401.625</v>
      </c>
      <c r="F27" s="479">
        <v>9031257.4914885145</v>
      </c>
      <c r="G27" s="480">
        <v>1310790.7332032048</v>
      </c>
      <c r="H27" s="481">
        <v>1310790.7332032048</v>
      </c>
      <c r="I27" s="475">
        <f t="shared" si="0"/>
        <v>0</v>
      </c>
      <c r="J27" s="475"/>
      <c r="K27" s="476">
        <f t="shared" si="10"/>
        <v>1310790.7332032048</v>
      </c>
      <c r="L27" s="550">
        <f t="shared" ref="L27" si="12">IF(K27&lt;&gt;0,+G27-K27,0)</f>
        <v>0</v>
      </c>
      <c r="M27" s="476">
        <f t="shared" si="11"/>
        <v>1310790.7332032048</v>
      </c>
      <c r="N27" s="478">
        <f t="shared" ref="N27" si="13">IF(M27&lt;&gt;0,+H27-M27,0)</f>
        <v>0</v>
      </c>
      <c r="O27" s="478">
        <f t="shared" ref="O27" si="14">+N27-L27</f>
        <v>0</v>
      </c>
      <c r="P27" s="242"/>
    </row>
    <row r="28" spans="2:16">
      <c r="B28" s="160" t="str">
        <f t="shared" si="6"/>
        <v>IU</v>
      </c>
      <c r="C28" s="472">
        <f>IF(D11="","-",+C27+1)</f>
        <v>2020</v>
      </c>
      <c r="D28" s="479">
        <v>9012688</v>
      </c>
      <c r="E28" s="480">
        <v>272763.45238095237</v>
      </c>
      <c r="F28" s="479">
        <v>8739924.5476190485</v>
      </c>
      <c r="G28" s="480">
        <v>1231446.9312681679</v>
      </c>
      <c r="H28" s="481">
        <v>1231446.9312681679</v>
      </c>
      <c r="I28" s="475">
        <f t="shared" si="0"/>
        <v>0</v>
      </c>
      <c r="J28" s="475"/>
      <c r="K28" s="476">
        <f t="shared" si="10"/>
        <v>1231446.9312681679</v>
      </c>
      <c r="L28" s="550">
        <f t="shared" ref="L28" si="15">IF(K28&lt;&gt;0,+G28-K28,0)</f>
        <v>0</v>
      </c>
      <c r="M28" s="476">
        <f t="shared" si="11"/>
        <v>1231446.9312681679</v>
      </c>
      <c r="N28" s="478">
        <f t="shared" si="2"/>
        <v>0</v>
      </c>
      <c r="O28" s="478">
        <f t="shared" si="3"/>
        <v>0</v>
      </c>
      <c r="P28" s="242"/>
    </row>
    <row r="29" spans="2:16">
      <c r="B29" s="160" t="str">
        <f t="shared" si="6"/>
        <v>IU</v>
      </c>
      <c r="C29" s="472">
        <f>IF(D11="","-",+C28+1)</f>
        <v>2021</v>
      </c>
      <c r="D29" s="479">
        <v>8758494.0391075611</v>
      </c>
      <c r="E29" s="480">
        <v>266420.11627906974</v>
      </c>
      <c r="F29" s="479">
        <v>8492073.9228284918</v>
      </c>
      <c r="G29" s="480">
        <v>1182049.5546801805</v>
      </c>
      <c r="H29" s="481">
        <v>1182049.5546801805</v>
      </c>
      <c r="I29" s="475">
        <f t="shared" si="0"/>
        <v>0</v>
      </c>
      <c r="J29" s="475"/>
      <c r="K29" s="476">
        <f t="shared" si="10"/>
        <v>1182049.5546801805</v>
      </c>
      <c r="L29" s="550">
        <f t="shared" ref="L29" si="16">IF(K29&lt;&gt;0,+G29-K29,0)</f>
        <v>0</v>
      </c>
      <c r="M29" s="476">
        <f t="shared" si="11"/>
        <v>1182049.5546801805</v>
      </c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6"/>
        <v/>
      </c>
      <c r="C30" s="472">
        <f>IF(D11="","-",+C29+1)</f>
        <v>2022</v>
      </c>
      <c r="D30" s="485">
        <f>IF(F29+SUM(E$17:E29)=D$10,F29,D$10-SUM(E$17:E29))</f>
        <v>8492073.9228284918</v>
      </c>
      <c r="E30" s="484">
        <f>IF(+I14&lt;F29,I14,D30)</f>
        <v>272763.45238095237</v>
      </c>
      <c r="F30" s="485">
        <f t="shared" ref="F30:F72" si="17">+D30-E30</f>
        <v>8219310.4704475394</v>
      </c>
      <c r="G30" s="486">
        <f t="shared" ref="G30:G72" si="18">+I$12*F30+E30</f>
        <v>1158897.5538764906</v>
      </c>
      <c r="H30" s="455">
        <f t="shared" ref="H30:H72" si="19">+I$13*F30+E30</f>
        <v>1158897.5538764906</v>
      </c>
      <c r="I30" s="475">
        <f t="shared" si="0"/>
        <v>0</v>
      </c>
      <c r="J30" s="475"/>
      <c r="K30" s="487"/>
      <c r="L30" s="478">
        <f t="shared" si="1"/>
        <v>0</v>
      </c>
      <c r="M30" s="487"/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6"/>
        <v/>
      </c>
      <c r="C31" s="472">
        <f>IF(D11="","-",+C30+1)</f>
        <v>2023</v>
      </c>
      <c r="D31" s="485">
        <f>IF(F30+SUM(E$17:E30)=D$10,F30,D$10-SUM(E$17:E30))</f>
        <v>8219310.4704475394</v>
      </c>
      <c r="E31" s="484">
        <f>IF(+I14&lt;F30,I14,D31)</f>
        <v>272763.45238095237</v>
      </c>
      <c r="F31" s="485">
        <f t="shared" si="17"/>
        <v>7946547.0180665869</v>
      </c>
      <c r="G31" s="486">
        <f t="shared" si="18"/>
        <v>1129490.5862646131</v>
      </c>
      <c r="H31" s="455">
        <f t="shared" si="19"/>
        <v>1129490.5862646131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/>
      </c>
      <c r="C32" s="472">
        <f>IF(D11="","-",+C31+1)</f>
        <v>2024</v>
      </c>
      <c r="D32" s="485">
        <f>IF(F31+SUM(E$17:E31)=D$10,F31,D$10-SUM(E$17:E31))</f>
        <v>7946547.0180665869</v>
      </c>
      <c r="E32" s="484">
        <f>IF(+I14&lt;F31,I14,D32)</f>
        <v>272763.45238095237</v>
      </c>
      <c r="F32" s="485">
        <f t="shared" si="17"/>
        <v>7673783.5656856345</v>
      </c>
      <c r="G32" s="486">
        <f t="shared" si="18"/>
        <v>1100083.6186527356</v>
      </c>
      <c r="H32" s="455">
        <f t="shared" si="19"/>
        <v>1100083.6186527356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2025</v>
      </c>
      <c r="D33" s="485">
        <f>IF(F32+SUM(E$17:E32)=D$10,F32,D$10-SUM(E$17:E32))</f>
        <v>7673783.5656856345</v>
      </c>
      <c r="E33" s="484">
        <f>IF(+I14&lt;F32,I14,D33)</f>
        <v>272763.45238095237</v>
      </c>
      <c r="F33" s="485">
        <f t="shared" si="17"/>
        <v>7401020.1133046821</v>
      </c>
      <c r="G33" s="486">
        <f t="shared" si="18"/>
        <v>1070676.6510408581</v>
      </c>
      <c r="H33" s="455">
        <f t="shared" si="19"/>
        <v>1070676.6510408581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2026</v>
      </c>
      <c r="D34" s="485">
        <f>IF(F33+SUM(E$17:E33)=D$10,F33,D$10-SUM(E$17:E33))</f>
        <v>7401020.1133046821</v>
      </c>
      <c r="E34" s="484">
        <f>IF(+I14&lt;F33,I14,D34)</f>
        <v>272763.45238095237</v>
      </c>
      <c r="F34" s="485">
        <f t="shared" si="17"/>
        <v>7128256.6609237297</v>
      </c>
      <c r="G34" s="486">
        <f t="shared" si="18"/>
        <v>1041269.6834289806</v>
      </c>
      <c r="H34" s="455">
        <f t="shared" si="19"/>
        <v>1041269.6834289806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2027</v>
      </c>
      <c r="D35" s="485">
        <f>IF(F34+SUM(E$17:E34)=D$10,F34,D$10-SUM(E$17:E34))</f>
        <v>7128256.6609237297</v>
      </c>
      <c r="E35" s="484">
        <f>IF(+I14&lt;F34,I14,D35)</f>
        <v>272763.45238095237</v>
      </c>
      <c r="F35" s="485">
        <f t="shared" si="17"/>
        <v>6855493.2085427772</v>
      </c>
      <c r="G35" s="486">
        <f t="shared" si="18"/>
        <v>1011862.7158171032</v>
      </c>
      <c r="H35" s="455">
        <f t="shared" si="19"/>
        <v>1011862.7158171032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2028</v>
      </c>
      <c r="D36" s="485">
        <f>IF(F35+SUM(E$17:E35)=D$10,F35,D$10-SUM(E$17:E35))</f>
        <v>6855493.2085427772</v>
      </c>
      <c r="E36" s="484">
        <f>IF(+I14&lt;F35,I14,D36)</f>
        <v>272763.45238095237</v>
      </c>
      <c r="F36" s="485">
        <f t="shared" si="17"/>
        <v>6582729.7561618248</v>
      </c>
      <c r="G36" s="486">
        <f t="shared" si="18"/>
        <v>982455.74820522568</v>
      </c>
      <c r="H36" s="455">
        <f t="shared" si="19"/>
        <v>982455.74820522568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2029</v>
      </c>
      <c r="D37" s="485">
        <f>IF(F36+SUM(E$17:E36)=D$10,F36,D$10-SUM(E$17:E36))</f>
        <v>6582729.7561618248</v>
      </c>
      <c r="E37" s="484">
        <f>IF(+I14&lt;F36,I14,D37)</f>
        <v>272763.45238095237</v>
      </c>
      <c r="F37" s="485">
        <f t="shared" si="17"/>
        <v>6309966.3037808724</v>
      </c>
      <c r="G37" s="486">
        <f t="shared" si="18"/>
        <v>953048.7805933482</v>
      </c>
      <c r="H37" s="455">
        <f t="shared" si="19"/>
        <v>953048.7805933482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2030</v>
      </c>
      <c r="D38" s="485">
        <f>IF(F37+SUM(E$17:E37)=D$10,F37,D$10-SUM(E$17:E37))</f>
        <v>6309966.3037808724</v>
      </c>
      <c r="E38" s="484">
        <f>IF(+I14&lt;F37,I14,D38)</f>
        <v>272763.45238095237</v>
      </c>
      <c r="F38" s="485">
        <f t="shared" si="17"/>
        <v>6037202.8513999199</v>
      </c>
      <c r="G38" s="486">
        <f t="shared" si="18"/>
        <v>923641.81298147072</v>
      </c>
      <c r="H38" s="455">
        <f t="shared" si="19"/>
        <v>923641.81298147072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2031</v>
      </c>
      <c r="D39" s="485">
        <f>IF(F38+SUM(E$17:E38)=D$10,F38,D$10-SUM(E$17:E38))</f>
        <v>6037202.8513999199</v>
      </c>
      <c r="E39" s="484">
        <f>IF(+I14&lt;F38,I14,D39)</f>
        <v>272763.45238095237</v>
      </c>
      <c r="F39" s="485">
        <f t="shared" si="17"/>
        <v>5764439.3990189675</v>
      </c>
      <c r="G39" s="486">
        <f t="shared" si="18"/>
        <v>894234.84536959324</v>
      </c>
      <c r="H39" s="455">
        <f t="shared" si="19"/>
        <v>894234.84536959324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2032</v>
      </c>
      <c r="D40" s="485">
        <f>IF(F39+SUM(E$17:E39)=D$10,F39,D$10-SUM(E$17:E39))</f>
        <v>5764439.3990189675</v>
      </c>
      <c r="E40" s="484">
        <f>IF(+I14&lt;F39,I14,D40)</f>
        <v>272763.45238095237</v>
      </c>
      <c r="F40" s="485">
        <f t="shared" si="17"/>
        <v>5491675.9466380151</v>
      </c>
      <c r="G40" s="486">
        <f t="shared" si="18"/>
        <v>864827.87775771576</v>
      </c>
      <c r="H40" s="455">
        <f t="shared" si="19"/>
        <v>864827.87775771576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2033</v>
      </c>
      <c r="D41" s="485">
        <f>IF(F40+SUM(E$17:E40)=D$10,F40,D$10-SUM(E$17:E40))</f>
        <v>5491675.9466380151</v>
      </c>
      <c r="E41" s="484">
        <f>IF(+I14&lt;F40,I14,D41)</f>
        <v>272763.45238095237</v>
      </c>
      <c r="F41" s="485">
        <f t="shared" si="17"/>
        <v>5218912.4942570627</v>
      </c>
      <c r="G41" s="486">
        <f t="shared" si="18"/>
        <v>835420.91014583828</v>
      </c>
      <c r="H41" s="455">
        <f t="shared" si="19"/>
        <v>835420.91014583828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2034</v>
      </c>
      <c r="D42" s="485">
        <f>IF(F41+SUM(E$17:E41)=D$10,F41,D$10-SUM(E$17:E41))</f>
        <v>5218912.4942570627</v>
      </c>
      <c r="E42" s="484">
        <f>IF(+I14&lt;F41,I14,D42)</f>
        <v>272763.45238095237</v>
      </c>
      <c r="F42" s="485">
        <f t="shared" si="17"/>
        <v>4946149.0418761102</v>
      </c>
      <c r="G42" s="486">
        <f t="shared" si="18"/>
        <v>806013.9425339608</v>
      </c>
      <c r="H42" s="455">
        <f t="shared" si="19"/>
        <v>806013.9425339608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2035</v>
      </c>
      <c r="D43" s="485">
        <f>IF(F42+SUM(E$17:E42)=D$10,F42,D$10-SUM(E$17:E42))</f>
        <v>4946149.0418761102</v>
      </c>
      <c r="E43" s="484">
        <f>IF(+I14&lt;F42,I14,D43)</f>
        <v>272763.45238095237</v>
      </c>
      <c r="F43" s="485">
        <f t="shared" si="17"/>
        <v>4673385.5894951578</v>
      </c>
      <c r="G43" s="486">
        <f t="shared" si="18"/>
        <v>776606.97492208332</v>
      </c>
      <c r="H43" s="455">
        <f t="shared" si="19"/>
        <v>776606.97492208332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2036</v>
      </c>
      <c r="D44" s="485">
        <f>IF(F43+SUM(E$17:E43)=D$10,F43,D$10-SUM(E$17:E43))</f>
        <v>4673385.5894951578</v>
      </c>
      <c r="E44" s="484">
        <f>IF(+I14&lt;F43,I14,D44)</f>
        <v>272763.45238095237</v>
      </c>
      <c r="F44" s="485">
        <f t="shared" si="17"/>
        <v>4400622.1371142054</v>
      </c>
      <c r="G44" s="486">
        <f t="shared" si="18"/>
        <v>747200.00731020584</v>
      </c>
      <c r="H44" s="455">
        <f t="shared" si="19"/>
        <v>747200.00731020584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2037</v>
      </c>
      <c r="D45" s="485">
        <f>IF(F44+SUM(E$17:E44)=D$10,F44,D$10-SUM(E$17:E44))</f>
        <v>4400622.1371142054</v>
      </c>
      <c r="E45" s="484">
        <f>IF(+I14&lt;F44,I14,D45)</f>
        <v>272763.45238095237</v>
      </c>
      <c r="F45" s="485">
        <f t="shared" si="17"/>
        <v>4127858.684733253</v>
      </c>
      <c r="G45" s="486">
        <f t="shared" si="18"/>
        <v>717793.03969832836</v>
      </c>
      <c r="H45" s="455">
        <f t="shared" si="19"/>
        <v>717793.03969832836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2038</v>
      </c>
      <c r="D46" s="485">
        <f>IF(F45+SUM(E$17:E45)=D$10,F45,D$10-SUM(E$17:E45))</f>
        <v>4127858.684733253</v>
      </c>
      <c r="E46" s="484">
        <f>IF(+I14&lt;F45,I14,D46)</f>
        <v>272763.45238095237</v>
      </c>
      <c r="F46" s="485">
        <f t="shared" si="17"/>
        <v>3855095.2323523005</v>
      </c>
      <c r="G46" s="486">
        <f t="shared" si="18"/>
        <v>688386.07208645088</v>
      </c>
      <c r="H46" s="455">
        <f t="shared" si="19"/>
        <v>688386.07208645088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2039</v>
      </c>
      <c r="D47" s="485">
        <f>IF(F46+SUM(E$17:E46)=D$10,F46,D$10-SUM(E$17:E46))</f>
        <v>3855095.2323523005</v>
      </c>
      <c r="E47" s="484">
        <f>IF(+I14&lt;F46,I14,D47)</f>
        <v>272763.45238095237</v>
      </c>
      <c r="F47" s="485">
        <f t="shared" si="17"/>
        <v>3582331.7799713481</v>
      </c>
      <c r="G47" s="486">
        <f t="shared" si="18"/>
        <v>658979.1044745734</v>
      </c>
      <c r="H47" s="455">
        <f t="shared" si="19"/>
        <v>658979.1044745734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2040</v>
      </c>
      <c r="D48" s="485">
        <f>IF(F47+SUM(E$17:E47)=D$10,F47,D$10-SUM(E$17:E47))</f>
        <v>3582331.7799713481</v>
      </c>
      <c r="E48" s="484">
        <f>IF(+I14&lt;F47,I14,D48)</f>
        <v>272763.45238095237</v>
      </c>
      <c r="F48" s="485">
        <f t="shared" si="17"/>
        <v>3309568.3275903957</v>
      </c>
      <c r="G48" s="486">
        <f t="shared" si="18"/>
        <v>629572.13686269592</v>
      </c>
      <c r="H48" s="455">
        <f t="shared" si="19"/>
        <v>629572.13686269592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2041</v>
      </c>
      <c r="D49" s="485">
        <f>IF(F48+SUM(E$17:E48)=D$10,F48,D$10-SUM(E$17:E48))</f>
        <v>3309568.3275903957</v>
      </c>
      <c r="E49" s="484">
        <f>IF(+I14&lt;F48,I14,D49)</f>
        <v>272763.45238095237</v>
      </c>
      <c r="F49" s="485">
        <f t="shared" si="17"/>
        <v>3036804.8752094433</v>
      </c>
      <c r="G49" s="486">
        <f t="shared" si="18"/>
        <v>600165.16925081832</v>
      </c>
      <c r="H49" s="455">
        <f t="shared" si="19"/>
        <v>600165.16925081832</v>
      </c>
      <c r="I49" s="475">
        <f t="shared" ref="I49:I72" si="20">H303-G303</f>
        <v>0</v>
      </c>
      <c r="J49" s="475"/>
      <c r="K49" s="487"/>
      <c r="L49" s="478">
        <f t="shared" ref="L49:L72" si="21">IF(K303&lt;&gt;0,+G303-K303,0)</f>
        <v>0</v>
      </c>
      <c r="M49" s="487"/>
      <c r="N49" s="478">
        <f t="shared" ref="N49:N72" si="22">IF(M303&lt;&gt;0,+H303-M303,0)</f>
        <v>0</v>
      </c>
      <c r="O49" s="478">
        <f t="shared" ref="O49:O72" si="23">+N303-L303</f>
        <v>0</v>
      </c>
      <c r="P49" s="242"/>
    </row>
    <row r="50" spans="2:16">
      <c r="B50" s="160" t="str">
        <f t="shared" si="6"/>
        <v/>
      </c>
      <c r="C50" s="472">
        <f>IF(D11="","-",+C49+1)</f>
        <v>2042</v>
      </c>
      <c r="D50" s="485">
        <f>IF(F49+SUM(E$17:E49)=D$10,F49,D$10-SUM(E$17:E49))</f>
        <v>3036804.8752094433</v>
      </c>
      <c r="E50" s="484">
        <f>IF(+I14&lt;F49,I14,D50)</f>
        <v>272763.45238095237</v>
      </c>
      <c r="F50" s="485">
        <f t="shared" si="17"/>
        <v>2764041.4228284908</v>
      </c>
      <c r="G50" s="486">
        <f t="shared" si="18"/>
        <v>570758.20163894084</v>
      </c>
      <c r="H50" s="455">
        <f t="shared" si="19"/>
        <v>570758.20163894084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>
      <c r="B51" s="160" t="str">
        <f t="shared" si="6"/>
        <v/>
      </c>
      <c r="C51" s="472">
        <f>IF(D11="","-",+C50+1)</f>
        <v>2043</v>
      </c>
      <c r="D51" s="485">
        <f>IF(F50+SUM(E$17:E50)=D$10,F50,D$10-SUM(E$17:E50))</f>
        <v>2764041.4228284908</v>
      </c>
      <c r="E51" s="484">
        <f>IF(+I14&lt;F50,I14,D51)</f>
        <v>272763.45238095237</v>
      </c>
      <c r="F51" s="485">
        <f t="shared" si="17"/>
        <v>2491277.9704475384</v>
      </c>
      <c r="G51" s="486">
        <f t="shared" si="18"/>
        <v>541351.23402706336</v>
      </c>
      <c r="H51" s="455">
        <f t="shared" si="19"/>
        <v>541351.23402706336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>
      <c r="B52" s="160" t="str">
        <f t="shared" si="6"/>
        <v/>
      </c>
      <c r="C52" s="472">
        <f>IF(D11="","-",+C51+1)</f>
        <v>2044</v>
      </c>
      <c r="D52" s="485">
        <f>IF(F51+SUM(E$17:E51)=D$10,F51,D$10-SUM(E$17:E51))</f>
        <v>2491277.9704475384</v>
      </c>
      <c r="E52" s="484">
        <f>IF(+I14&lt;F51,I14,D52)</f>
        <v>272763.45238095237</v>
      </c>
      <c r="F52" s="485">
        <f t="shared" si="17"/>
        <v>2218514.518066586</v>
      </c>
      <c r="G52" s="486">
        <f t="shared" si="18"/>
        <v>511944.26641518588</v>
      </c>
      <c r="H52" s="455">
        <f t="shared" si="19"/>
        <v>511944.26641518588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>
      <c r="B53" s="160" t="str">
        <f t="shared" si="6"/>
        <v/>
      </c>
      <c r="C53" s="472">
        <f>IF(D11="","-",+C52+1)</f>
        <v>2045</v>
      </c>
      <c r="D53" s="485">
        <f>IF(F52+SUM(E$17:E52)=D$10,F52,D$10-SUM(E$17:E52))</f>
        <v>2218514.518066586</v>
      </c>
      <c r="E53" s="484">
        <f>IF(+I14&lt;F52,I14,D53)</f>
        <v>272763.45238095237</v>
      </c>
      <c r="F53" s="485">
        <f t="shared" si="17"/>
        <v>1945751.0656856336</v>
      </c>
      <c r="G53" s="486">
        <f t="shared" si="18"/>
        <v>482537.2988033084</v>
      </c>
      <c r="H53" s="455">
        <f t="shared" si="19"/>
        <v>482537.2988033084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>
      <c r="B54" s="160" t="str">
        <f t="shared" si="6"/>
        <v/>
      </c>
      <c r="C54" s="472">
        <f>IF(D11="","-",+C53+1)</f>
        <v>2046</v>
      </c>
      <c r="D54" s="485">
        <f>IF(F53+SUM(E$17:E53)=D$10,F53,D$10-SUM(E$17:E53))</f>
        <v>1945751.0656856336</v>
      </c>
      <c r="E54" s="484">
        <f>IF(+I14&lt;F53,I14,D54)</f>
        <v>272763.45238095237</v>
      </c>
      <c r="F54" s="485">
        <f t="shared" si="17"/>
        <v>1672987.6133046811</v>
      </c>
      <c r="G54" s="486">
        <f t="shared" si="18"/>
        <v>453130.33119143092</v>
      </c>
      <c r="H54" s="455">
        <f t="shared" si="19"/>
        <v>453130.33119143092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>
      <c r="B55" s="160" t="str">
        <f t="shared" si="6"/>
        <v/>
      </c>
      <c r="C55" s="472">
        <f>IF(D11="","-",+C54+1)</f>
        <v>2047</v>
      </c>
      <c r="D55" s="485">
        <f>IF(F54+SUM(E$17:E54)=D$10,F54,D$10-SUM(E$17:E54))</f>
        <v>1672987.6133046811</v>
      </c>
      <c r="E55" s="484">
        <f>IF(+I14&lt;F54,I14,D55)</f>
        <v>272763.45238095237</v>
      </c>
      <c r="F55" s="485">
        <f t="shared" si="17"/>
        <v>1400224.1609237287</v>
      </c>
      <c r="G55" s="486">
        <f t="shared" si="18"/>
        <v>423723.36357955344</v>
      </c>
      <c r="H55" s="455">
        <f t="shared" si="19"/>
        <v>423723.36357955344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>
      <c r="B56" s="160" t="str">
        <f t="shared" si="6"/>
        <v/>
      </c>
      <c r="C56" s="472">
        <f>IF(D11="","-",+C55+1)</f>
        <v>2048</v>
      </c>
      <c r="D56" s="485">
        <f>IF(F55+SUM(E$17:E55)=D$10,F55,D$10-SUM(E$17:E55))</f>
        <v>1400224.1609237287</v>
      </c>
      <c r="E56" s="484">
        <f>IF(+I14&lt;F55,I14,D56)</f>
        <v>272763.45238095237</v>
      </c>
      <c r="F56" s="485">
        <f t="shared" si="17"/>
        <v>1127460.7085427763</v>
      </c>
      <c r="G56" s="486">
        <f t="shared" si="18"/>
        <v>394316.39596767596</v>
      </c>
      <c r="H56" s="455">
        <f t="shared" si="19"/>
        <v>394316.39596767596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>
      <c r="B57" s="160" t="str">
        <f t="shared" si="6"/>
        <v/>
      </c>
      <c r="C57" s="472">
        <f>IF(D11="","-",+C56+1)</f>
        <v>2049</v>
      </c>
      <c r="D57" s="485">
        <f>IF(F56+SUM(E$17:E56)=D$10,F56,D$10-SUM(E$17:E56))</f>
        <v>1127460.7085427763</v>
      </c>
      <c r="E57" s="484">
        <f>IF(+I14&lt;F56,I14,D57)</f>
        <v>272763.45238095237</v>
      </c>
      <c r="F57" s="485">
        <f t="shared" si="17"/>
        <v>854697.25616182387</v>
      </c>
      <c r="G57" s="486">
        <f t="shared" si="18"/>
        <v>364909.42835579842</v>
      </c>
      <c r="H57" s="455">
        <f t="shared" si="19"/>
        <v>364909.42835579842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>
      <c r="B58" s="160" t="str">
        <f t="shared" si="6"/>
        <v/>
      </c>
      <c r="C58" s="472">
        <f>IF(D11="","-",+C57+1)</f>
        <v>2050</v>
      </c>
      <c r="D58" s="485">
        <f>IF(F57+SUM(E$17:E57)=D$10,F57,D$10-SUM(E$17:E57))</f>
        <v>854697.25616182387</v>
      </c>
      <c r="E58" s="484">
        <f>IF(+I14&lt;F57,I14,D58)</f>
        <v>272763.45238095237</v>
      </c>
      <c r="F58" s="485">
        <f t="shared" si="17"/>
        <v>581933.80378087144</v>
      </c>
      <c r="G58" s="486">
        <f t="shared" si="18"/>
        <v>335502.46074392094</v>
      </c>
      <c r="H58" s="455">
        <f t="shared" si="19"/>
        <v>335502.46074392094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>
      <c r="B59" s="160" t="str">
        <f t="shared" si="6"/>
        <v/>
      </c>
      <c r="C59" s="472">
        <f>IF(D11="","-",+C58+1)</f>
        <v>2051</v>
      </c>
      <c r="D59" s="485">
        <f>IF(F58+SUM(E$17:E58)=D$10,F58,D$10-SUM(E$17:E58))</f>
        <v>581933.80378087144</v>
      </c>
      <c r="E59" s="484">
        <f>IF(+I14&lt;F58,I14,D59)</f>
        <v>272763.45238095237</v>
      </c>
      <c r="F59" s="485">
        <f t="shared" si="17"/>
        <v>309170.35139991908</v>
      </c>
      <c r="G59" s="486">
        <f t="shared" si="18"/>
        <v>306095.49313204346</v>
      </c>
      <c r="H59" s="455">
        <f t="shared" si="19"/>
        <v>306095.49313204346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>
      <c r="B60" s="160" t="str">
        <f t="shared" si="6"/>
        <v/>
      </c>
      <c r="C60" s="472">
        <f>IF(D11="","-",+C59+1)</f>
        <v>2052</v>
      </c>
      <c r="D60" s="485">
        <f>IF(F59+SUM(E$17:E59)=D$10,F59,D$10-SUM(E$17:E59))</f>
        <v>309170.35139991908</v>
      </c>
      <c r="E60" s="484">
        <f>IF(+I14&lt;F59,I14,D60)</f>
        <v>272763.45238095237</v>
      </c>
      <c r="F60" s="485">
        <f t="shared" si="17"/>
        <v>36406.899018966709</v>
      </c>
      <c r="G60" s="486">
        <f t="shared" si="18"/>
        <v>276688.52552016597</v>
      </c>
      <c r="H60" s="455">
        <f t="shared" si="19"/>
        <v>276688.52552016597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>
      <c r="B61" s="160" t="str">
        <f t="shared" si="6"/>
        <v/>
      </c>
      <c r="C61" s="472">
        <f>IF(D11="","-",+C60+1)</f>
        <v>2053</v>
      </c>
      <c r="D61" s="485">
        <f>IF(F60+SUM(E$17:E60)=D$10,F60,D$10-SUM(E$17:E60))</f>
        <v>36406.899018966709</v>
      </c>
      <c r="E61" s="484">
        <f>IF(+I14&lt;F60,I14,D61)</f>
        <v>36406.899018966709</v>
      </c>
      <c r="F61" s="485">
        <f t="shared" si="17"/>
        <v>0</v>
      </c>
      <c r="G61" s="488">
        <f t="shared" si="18"/>
        <v>36406.899018966709</v>
      </c>
      <c r="H61" s="455">
        <f t="shared" si="19"/>
        <v>36406.899018966709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>
      <c r="B62" s="160" t="str">
        <f t="shared" si="6"/>
        <v/>
      </c>
      <c r="C62" s="472">
        <f>IF(D11="","-",+C61+1)</f>
        <v>2054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8"/>
        <v>0</v>
      </c>
      <c r="H62" s="455">
        <f t="shared" si="19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>
      <c r="B63" s="160" t="str">
        <f t="shared" si="6"/>
        <v/>
      </c>
      <c r="C63" s="472">
        <f>IF(D11="","-",+C62+1)</f>
        <v>2055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>
      <c r="B64" s="160" t="str">
        <f t="shared" si="6"/>
        <v/>
      </c>
      <c r="C64" s="472">
        <f>IF(D11="","-",+C63+1)</f>
        <v>2056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>
      <c r="B65" s="160" t="str">
        <f t="shared" si="6"/>
        <v/>
      </c>
      <c r="C65" s="472">
        <f>IF(D11="","-",+C64+1)</f>
        <v>2057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>
      <c r="B66" s="160" t="str">
        <f t="shared" si="6"/>
        <v/>
      </c>
      <c r="C66" s="472">
        <f>IF(D11="","-",+C65+1)</f>
        <v>2058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>
      <c r="B67" s="160" t="str">
        <f t="shared" si="6"/>
        <v/>
      </c>
      <c r="C67" s="472">
        <f>IF(D11="","-",+C66+1)</f>
        <v>2059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>
      <c r="B68" s="160" t="str">
        <f t="shared" si="6"/>
        <v/>
      </c>
      <c r="C68" s="472">
        <f>IF(D11="","-",+C67+1)</f>
        <v>2060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>
      <c r="B69" s="160" t="str">
        <f t="shared" si="6"/>
        <v/>
      </c>
      <c r="C69" s="472">
        <f>IF(D11="","-",+C68+1)</f>
        <v>2061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>
      <c r="B70" s="160" t="str">
        <f t="shared" si="6"/>
        <v/>
      </c>
      <c r="C70" s="472">
        <f>IF(D11="","-",+C69+1)</f>
        <v>2062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>
      <c r="B71" s="160" t="str">
        <f t="shared" si="6"/>
        <v/>
      </c>
      <c r="C71" s="472">
        <f>IF(D11="","-",+C70+1)</f>
        <v>2063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2064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8"/>
        <v>0</v>
      </c>
      <c r="H72" s="435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>
      <c r="C73" s="346" t="s">
        <v>77</v>
      </c>
      <c r="D73" s="347"/>
      <c r="E73" s="347">
        <f>SUM(E17:E72)</f>
        <v>11456064.999999991</v>
      </c>
      <c r="F73" s="347"/>
      <c r="G73" s="347">
        <f>SUM(G17:G72)</f>
        <v>41835585.077332348</v>
      </c>
      <c r="H73" s="347">
        <f>SUM(H17:H72)</f>
        <v>41835585.077332348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3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1231446.9312681679</v>
      </c>
      <c r="N87" s="508">
        <f>IF(J92&lt;D11,0,VLOOKUP(J92,C17:O72,11))</f>
        <v>1231446.9312681679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1288700.9982176959</v>
      </c>
      <c r="N88" s="512">
        <f>IF(J92&lt;D11,0,VLOOKUP(J92,C99:P154,7))</f>
        <v>1288700.9982176959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WFEC New 138 kV Ties: Sayre to Erick (WFEC) Line &amp; Atoka and Tupelo station work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57254.066949527944</v>
      </c>
      <c r="N89" s="517">
        <f>+N88-N87</f>
        <v>57254.066949527944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TP2006054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11456065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2009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10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272763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2009</v>
      </c>
      <c r="D99" s="473">
        <v>0</v>
      </c>
      <c r="E99" s="480">
        <v>26281</v>
      </c>
      <c r="F99" s="479">
        <v>8804059</v>
      </c>
      <c r="G99" s="537">
        <v>4402030</v>
      </c>
      <c r="H99" s="538">
        <v>669894</v>
      </c>
      <c r="I99" s="539">
        <v>669894</v>
      </c>
      <c r="J99" s="478">
        <f t="shared" ref="J99:J130" si="24">+I99-H99</f>
        <v>0</v>
      </c>
      <c r="K99" s="478"/>
      <c r="L99" s="554">
        <f t="shared" ref="L99:L104" si="25">H99</f>
        <v>669894</v>
      </c>
      <c r="M99" s="477">
        <f t="shared" ref="M99:M130" si="26">IF(L99&lt;&gt;0,+H99-L99,0)</f>
        <v>0</v>
      </c>
      <c r="N99" s="554">
        <f t="shared" ref="N99:N104" si="27">I99</f>
        <v>669894</v>
      </c>
      <c r="O99" s="477">
        <f t="shared" ref="O99:O130" si="28">IF(N99&lt;&gt;0,+I99-N99,0)</f>
        <v>0</v>
      </c>
      <c r="P99" s="477">
        <f t="shared" ref="P99:P130" si="29">+O99-M99</f>
        <v>0</v>
      </c>
    </row>
    <row r="100" spans="1:16">
      <c r="B100" s="160" t="str">
        <f>IF(D100=F99,"","IU")</f>
        <v>IU</v>
      </c>
      <c r="C100" s="472">
        <f>IF(D93="","-",+C99+1)</f>
        <v>2010</v>
      </c>
      <c r="D100" s="473">
        <v>12205867</v>
      </c>
      <c r="E100" s="480">
        <v>239846</v>
      </c>
      <c r="F100" s="479">
        <v>11966021</v>
      </c>
      <c r="G100" s="479">
        <v>12085944</v>
      </c>
      <c r="H100" s="480">
        <v>2183449.7644146364</v>
      </c>
      <c r="I100" s="481">
        <v>2183449.7644146364</v>
      </c>
      <c r="J100" s="478">
        <f t="shared" si="24"/>
        <v>0</v>
      </c>
      <c r="K100" s="478"/>
      <c r="L100" s="540">
        <f t="shared" si="25"/>
        <v>2183449.7644146364</v>
      </c>
      <c r="M100" s="541">
        <f t="shared" si="26"/>
        <v>0</v>
      </c>
      <c r="N100" s="540">
        <f t="shared" si="27"/>
        <v>2183449.7644146364</v>
      </c>
      <c r="O100" s="478">
        <f t="shared" si="28"/>
        <v>0</v>
      </c>
      <c r="P100" s="478">
        <f t="shared" si="29"/>
        <v>0</v>
      </c>
    </row>
    <row r="101" spans="1:16">
      <c r="B101" s="160" t="str">
        <f t="shared" ref="B101:B154" si="30">IF(D101=F100,"","IU")</f>
        <v/>
      </c>
      <c r="C101" s="472">
        <f>IF(D93="","-",+C100+1)</f>
        <v>2011</v>
      </c>
      <c r="D101" s="473">
        <v>11966021</v>
      </c>
      <c r="E101" s="480">
        <v>235234</v>
      </c>
      <c r="F101" s="479">
        <v>11730787</v>
      </c>
      <c r="G101" s="479">
        <v>11848404</v>
      </c>
      <c r="H101" s="480">
        <v>1891800.0972614796</v>
      </c>
      <c r="I101" s="481">
        <v>1891800.0972614796</v>
      </c>
      <c r="J101" s="478">
        <f t="shared" si="24"/>
        <v>0</v>
      </c>
      <c r="K101" s="478"/>
      <c r="L101" s="540">
        <f t="shared" si="25"/>
        <v>1891800.0972614796</v>
      </c>
      <c r="M101" s="541">
        <f t="shared" si="26"/>
        <v>0</v>
      </c>
      <c r="N101" s="540">
        <f t="shared" si="27"/>
        <v>1891800.0972614796</v>
      </c>
      <c r="O101" s="478">
        <f t="shared" si="28"/>
        <v>0</v>
      </c>
      <c r="P101" s="478">
        <f t="shared" si="29"/>
        <v>0</v>
      </c>
    </row>
    <row r="102" spans="1:16">
      <c r="B102" s="160" t="str">
        <f t="shared" si="30"/>
        <v/>
      </c>
      <c r="C102" s="472">
        <f>IF(D93="","-",+C101+1)</f>
        <v>2012</v>
      </c>
      <c r="D102" s="473">
        <v>11730787</v>
      </c>
      <c r="E102" s="480">
        <v>235234</v>
      </c>
      <c r="F102" s="479">
        <v>11495553</v>
      </c>
      <c r="G102" s="479">
        <v>11613170</v>
      </c>
      <c r="H102" s="480">
        <v>1905852.1655461292</v>
      </c>
      <c r="I102" s="481">
        <v>1905852.1655461292</v>
      </c>
      <c r="J102" s="478">
        <v>0</v>
      </c>
      <c r="K102" s="478"/>
      <c r="L102" s="540">
        <f t="shared" si="25"/>
        <v>1905852.1655461292</v>
      </c>
      <c r="M102" s="541">
        <f t="shared" ref="M102:M107" si="31">IF(L102&lt;&gt;0,+H102-L102,0)</f>
        <v>0</v>
      </c>
      <c r="N102" s="540">
        <f t="shared" si="27"/>
        <v>1905852.1655461292</v>
      </c>
      <c r="O102" s="478">
        <f t="shared" ref="O102:O107" si="32">IF(N102&lt;&gt;0,+I102-N102,0)</f>
        <v>0</v>
      </c>
      <c r="P102" s="478">
        <f t="shared" ref="P102:P107" si="33">+O102-M102</f>
        <v>0</v>
      </c>
    </row>
    <row r="103" spans="1:16">
      <c r="B103" s="160" t="str">
        <f t="shared" si="30"/>
        <v/>
      </c>
      <c r="C103" s="472">
        <f>IF(D93="","-",+C102+1)</f>
        <v>2013</v>
      </c>
      <c r="D103" s="473">
        <v>11495553</v>
      </c>
      <c r="E103" s="480">
        <v>235234</v>
      </c>
      <c r="F103" s="479">
        <v>11260319</v>
      </c>
      <c r="G103" s="479">
        <v>11377936</v>
      </c>
      <c r="H103" s="480">
        <v>1872969.4877104962</v>
      </c>
      <c r="I103" s="481">
        <v>1872969.4877104962</v>
      </c>
      <c r="J103" s="478">
        <v>0</v>
      </c>
      <c r="K103" s="478"/>
      <c r="L103" s="540">
        <f t="shared" si="25"/>
        <v>1872969.4877104962</v>
      </c>
      <c r="M103" s="541">
        <f t="shared" si="31"/>
        <v>0</v>
      </c>
      <c r="N103" s="540">
        <f t="shared" si="27"/>
        <v>1872969.4877104962</v>
      </c>
      <c r="O103" s="478">
        <f t="shared" si="32"/>
        <v>0</v>
      </c>
      <c r="P103" s="478">
        <f t="shared" si="33"/>
        <v>0</v>
      </c>
    </row>
    <row r="104" spans="1:16">
      <c r="B104" s="160" t="str">
        <f t="shared" si="30"/>
        <v>IU</v>
      </c>
      <c r="C104" s="472">
        <f>IF(D93="","-",+C103+1)</f>
        <v>2014</v>
      </c>
      <c r="D104" s="473">
        <v>10484236</v>
      </c>
      <c r="E104" s="480">
        <v>220309</v>
      </c>
      <c r="F104" s="479">
        <v>10263927</v>
      </c>
      <c r="G104" s="479">
        <v>10374081.5</v>
      </c>
      <c r="H104" s="480">
        <v>1678862.4521722798</v>
      </c>
      <c r="I104" s="481">
        <v>1678862.4521722798</v>
      </c>
      <c r="J104" s="478">
        <v>0</v>
      </c>
      <c r="K104" s="478"/>
      <c r="L104" s="540">
        <f t="shared" si="25"/>
        <v>1678862.4521722798</v>
      </c>
      <c r="M104" s="541">
        <f t="shared" si="31"/>
        <v>0</v>
      </c>
      <c r="N104" s="540">
        <f t="shared" si="27"/>
        <v>1678862.4521722798</v>
      </c>
      <c r="O104" s="478">
        <f t="shared" si="32"/>
        <v>0</v>
      </c>
      <c r="P104" s="478">
        <f t="shared" si="33"/>
        <v>0</v>
      </c>
    </row>
    <row r="105" spans="1:16">
      <c r="B105" s="160" t="str">
        <f t="shared" si="30"/>
        <v/>
      </c>
      <c r="C105" s="472">
        <f>IF(D93="","-",+C104+1)</f>
        <v>2015</v>
      </c>
      <c r="D105" s="473">
        <v>10263927</v>
      </c>
      <c r="E105" s="480">
        <v>220309</v>
      </c>
      <c r="F105" s="479">
        <v>10043618</v>
      </c>
      <c r="G105" s="479">
        <v>10153772.5</v>
      </c>
      <c r="H105" s="480">
        <v>1605709.6172709188</v>
      </c>
      <c r="I105" s="481">
        <v>1605709.6172709188</v>
      </c>
      <c r="J105" s="478">
        <f t="shared" si="24"/>
        <v>0</v>
      </c>
      <c r="K105" s="478"/>
      <c r="L105" s="540">
        <f t="shared" ref="L105:L110" si="34">H105</f>
        <v>1605709.6172709188</v>
      </c>
      <c r="M105" s="541">
        <f t="shared" si="31"/>
        <v>0</v>
      </c>
      <c r="N105" s="540">
        <f t="shared" ref="N105:N110" si="35">I105</f>
        <v>1605709.6172709188</v>
      </c>
      <c r="O105" s="478">
        <f t="shared" si="32"/>
        <v>0</v>
      </c>
      <c r="P105" s="478">
        <f t="shared" si="33"/>
        <v>0</v>
      </c>
    </row>
    <row r="106" spans="1:16">
      <c r="B106" s="160" t="str">
        <f t="shared" si="30"/>
        <v/>
      </c>
      <c r="C106" s="472">
        <f>IF(D93="","-",+C105+1)</f>
        <v>2016</v>
      </c>
      <c r="D106" s="473">
        <v>10043618</v>
      </c>
      <c r="E106" s="480">
        <v>249045</v>
      </c>
      <c r="F106" s="479">
        <v>9794573</v>
      </c>
      <c r="G106" s="479">
        <v>9919095.5</v>
      </c>
      <c r="H106" s="480">
        <v>1527772.6245386968</v>
      </c>
      <c r="I106" s="481">
        <v>1527772.6245386968</v>
      </c>
      <c r="J106" s="478">
        <f t="shared" si="24"/>
        <v>0</v>
      </c>
      <c r="K106" s="478"/>
      <c r="L106" s="540">
        <f t="shared" si="34"/>
        <v>1527772.6245386968</v>
      </c>
      <c r="M106" s="541">
        <f t="shared" si="31"/>
        <v>0</v>
      </c>
      <c r="N106" s="540">
        <f t="shared" si="35"/>
        <v>1527772.6245386968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30"/>
        <v/>
      </c>
      <c r="C107" s="472">
        <f>IF(D93="","-",+C106+1)</f>
        <v>2017</v>
      </c>
      <c r="D107" s="473">
        <v>9794573</v>
      </c>
      <c r="E107" s="480">
        <v>249045</v>
      </c>
      <c r="F107" s="479">
        <v>9545528</v>
      </c>
      <c r="G107" s="479">
        <v>9670050.5</v>
      </c>
      <c r="H107" s="480">
        <v>1475715.2889659985</v>
      </c>
      <c r="I107" s="481">
        <v>1475715.2889659985</v>
      </c>
      <c r="J107" s="478">
        <f t="shared" si="24"/>
        <v>0</v>
      </c>
      <c r="K107" s="478"/>
      <c r="L107" s="540">
        <f t="shared" si="34"/>
        <v>1475715.2889659985</v>
      </c>
      <c r="M107" s="541">
        <f t="shared" si="31"/>
        <v>0</v>
      </c>
      <c r="N107" s="540">
        <f t="shared" si="35"/>
        <v>1475715.2889659985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30"/>
        <v/>
      </c>
      <c r="C108" s="472">
        <f>IF(D93="","-",+C107+1)</f>
        <v>2018</v>
      </c>
      <c r="D108" s="473">
        <v>9545528</v>
      </c>
      <c r="E108" s="480">
        <v>266420</v>
      </c>
      <c r="F108" s="479">
        <v>9279108</v>
      </c>
      <c r="G108" s="479">
        <v>9412318</v>
      </c>
      <c r="H108" s="480">
        <v>1233399.824885203</v>
      </c>
      <c r="I108" s="481">
        <v>1233399.824885203</v>
      </c>
      <c r="J108" s="478">
        <f t="shared" si="24"/>
        <v>0</v>
      </c>
      <c r="K108" s="478"/>
      <c r="L108" s="540">
        <f t="shared" si="34"/>
        <v>1233399.824885203</v>
      </c>
      <c r="M108" s="541">
        <f t="shared" ref="M108" si="36">IF(L108&lt;&gt;0,+H108-L108,0)</f>
        <v>0</v>
      </c>
      <c r="N108" s="540">
        <f t="shared" si="35"/>
        <v>1233399.824885203</v>
      </c>
      <c r="O108" s="478">
        <f t="shared" ref="O108" si="37">IF(N108&lt;&gt;0,+I108-N108,0)</f>
        <v>0</v>
      </c>
      <c r="P108" s="478">
        <f t="shared" ref="P108" si="38">+O108-M108</f>
        <v>0</v>
      </c>
    </row>
    <row r="109" spans="1:16">
      <c r="B109" s="160" t="str">
        <f t="shared" si="30"/>
        <v/>
      </c>
      <c r="C109" s="472">
        <f>IF(D93="","-",+C108+1)</f>
        <v>2019</v>
      </c>
      <c r="D109" s="473">
        <v>9279108</v>
      </c>
      <c r="E109" s="480">
        <v>279416</v>
      </c>
      <c r="F109" s="479">
        <v>8999692</v>
      </c>
      <c r="G109" s="479">
        <v>9139400</v>
      </c>
      <c r="H109" s="480">
        <v>1221816.3299613127</v>
      </c>
      <c r="I109" s="481">
        <v>1221816.3299613127</v>
      </c>
      <c r="J109" s="478">
        <f t="shared" si="24"/>
        <v>0</v>
      </c>
      <c r="K109" s="478"/>
      <c r="L109" s="540">
        <f t="shared" si="34"/>
        <v>1221816.3299613127</v>
      </c>
      <c r="M109" s="541">
        <f t="shared" ref="M109:M110" si="39">IF(L109&lt;&gt;0,+H109-L109,0)</f>
        <v>0</v>
      </c>
      <c r="N109" s="540">
        <f t="shared" si="35"/>
        <v>1221816.3299613127</v>
      </c>
      <c r="O109" s="478">
        <f t="shared" si="28"/>
        <v>0</v>
      </c>
      <c r="P109" s="478">
        <f t="shared" si="29"/>
        <v>0</v>
      </c>
    </row>
    <row r="110" spans="1:16">
      <c r="B110" s="160" t="str">
        <f t="shared" si="30"/>
        <v/>
      </c>
      <c r="C110" s="472">
        <f>IF(D93="","-",+C109+1)</f>
        <v>2020</v>
      </c>
      <c r="D110" s="473">
        <v>8999692</v>
      </c>
      <c r="E110" s="480">
        <v>266420</v>
      </c>
      <c r="F110" s="479">
        <v>8733272</v>
      </c>
      <c r="G110" s="479">
        <v>8866482</v>
      </c>
      <c r="H110" s="480">
        <v>1288700.9982176959</v>
      </c>
      <c r="I110" s="481">
        <v>1288700.9982176959</v>
      </c>
      <c r="J110" s="478">
        <f t="shared" si="24"/>
        <v>0</v>
      </c>
      <c r="K110" s="478"/>
      <c r="L110" s="540">
        <f t="shared" si="34"/>
        <v>1288700.9982176959</v>
      </c>
      <c r="M110" s="541">
        <f t="shared" si="39"/>
        <v>0</v>
      </c>
      <c r="N110" s="540">
        <f t="shared" si="35"/>
        <v>1288700.9982176959</v>
      </c>
      <c r="O110" s="478">
        <f t="shared" si="28"/>
        <v>0</v>
      </c>
      <c r="P110" s="478">
        <f t="shared" si="29"/>
        <v>0</v>
      </c>
    </row>
    <row r="111" spans="1:16">
      <c r="B111" s="160" t="str">
        <f t="shared" si="30"/>
        <v/>
      </c>
      <c r="C111" s="472">
        <f>IF(D93="","-",+C110+1)</f>
        <v>2021</v>
      </c>
      <c r="D111" s="346">
        <f>IF(F110+SUM(E$99:E110)=D$92,F110,D$92-SUM(E$99:E110))</f>
        <v>8733272</v>
      </c>
      <c r="E111" s="486">
        <f>IF(+J96&lt;F110,J96,D111)</f>
        <v>272763</v>
      </c>
      <c r="F111" s="485">
        <f t="shared" ref="F111:F130" si="40">+D111-E111</f>
        <v>8460509</v>
      </c>
      <c r="G111" s="485">
        <f t="shared" ref="G111:G130" si="41">+(F111+D111)/2</f>
        <v>8596890.5</v>
      </c>
      <c r="H111" s="488">
        <f t="shared" ref="H111:H154" si="42">+J$94*G111+E111</f>
        <v>1199604.4748735279</v>
      </c>
      <c r="I111" s="542">
        <f t="shared" ref="I111:I154" si="43">+J$95*G111+E111</f>
        <v>1199604.4748735279</v>
      </c>
      <c r="J111" s="478">
        <f t="shared" si="24"/>
        <v>0</v>
      </c>
      <c r="K111" s="478"/>
      <c r="L111" s="487"/>
      <c r="M111" s="478">
        <f t="shared" si="26"/>
        <v>0</v>
      </c>
      <c r="N111" s="487"/>
      <c r="O111" s="478">
        <f t="shared" si="28"/>
        <v>0</v>
      </c>
      <c r="P111" s="478">
        <f t="shared" si="29"/>
        <v>0</v>
      </c>
    </row>
    <row r="112" spans="1:16">
      <c r="B112" s="160" t="str">
        <f t="shared" si="30"/>
        <v/>
      </c>
      <c r="C112" s="472">
        <f>IF(D93="","-",+C111+1)</f>
        <v>2022</v>
      </c>
      <c r="D112" s="346">
        <f>IF(F111+SUM(E$99:E111)=D$92,F111,D$92-SUM(E$99:E111))</f>
        <v>8460509</v>
      </c>
      <c r="E112" s="486">
        <f>IF(+J96&lt;F111,J96,D112)</f>
        <v>272763</v>
      </c>
      <c r="F112" s="485">
        <f t="shared" si="40"/>
        <v>8187746</v>
      </c>
      <c r="G112" s="485">
        <f t="shared" si="41"/>
        <v>8324127.5</v>
      </c>
      <c r="H112" s="488">
        <f t="shared" si="42"/>
        <v>1170197.5560334045</v>
      </c>
      <c r="I112" s="542">
        <f t="shared" si="43"/>
        <v>1170197.5560334045</v>
      </c>
      <c r="J112" s="478">
        <f t="shared" si="24"/>
        <v>0</v>
      </c>
      <c r="K112" s="478"/>
      <c r="L112" s="487"/>
      <c r="M112" s="478">
        <f t="shared" si="26"/>
        <v>0</v>
      </c>
      <c r="N112" s="487"/>
      <c r="O112" s="478">
        <f t="shared" si="28"/>
        <v>0</v>
      </c>
      <c r="P112" s="478">
        <f t="shared" si="29"/>
        <v>0</v>
      </c>
    </row>
    <row r="113" spans="2:16">
      <c r="B113" s="160" t="str">
        <f t="shared" si="30"/>
        <v/>
      </c>
      <c r="C113" s="472">
        <f>IF(D93="","-",+C112+1)</f>
        <v>2023</v>
      </c>
      <c r="D113" s="346">
        <f>IF(F112+SUM(E$99:E112)=D$92,F112,D$92-SUM(E$99:E112))</f>
        <v>8187746</v>
      </c>
      <c r="E113" s="486">
        <f>IF(+J96&lt;F112,J96,D113)</f>
        <v>272763</v>
      </c>
      <c r="F113" s="485">
        <f t="shared" si="40"/>
        <v>7914983</v>
      </c>
      <c r="G113" s="485">
        <f t="shared" si="41"/>
        <v>8051364.5</v>
      </c>
      <c r="H113" s="488">
        <f t="shared" si="42"/>
        <v>1140790.6371932812</v>
      </c>
      <c r="I113" s="542">
        <f t="shared" si="43"/>
        <v>1140790.6371932812</v>
      </c>
      <c r="J113" s="478">
        <f t="shared" si="24"/>
        <v>0</v>
      </c>
      <c r="K113" s="478"/>
      <c r="L113" s="487"/>
      <c r="M113" s="478">
        <f t="shared" si="26"/>
        <v>0</v>
      </c>
      <c r="N113" s="487"/>
      <c r="O113" s="478">
        <f t="shared" si="28"/>
        <v>0</v>
      </c>
      <c r="P113" s="478">
        <f t="shared" si="29"/>
        <v>0</v>
      </c>
    </row>
    <row r="114" spans="2:16">
      <c r="B114" s="160" t="str">
        <f t="shared" si="30"/>
        <v/>
      </c>
      <c r="C114" s="472">
        <f>IF(D93="","-",+C113+1)</f>
        <v>2024</v>
      </c>
      <c r="D114" s="346">
        <f>IF(F113+SUM(E$99:E113)=D$92,F113,D$92-SUM(E$99:E113))</f>
        <v>7914983</v>
      </c>
      <c r="E114" s="486">
        <f>IF(+J96&lt;F113,J96,D114)</f>
        <v>272763</v>
      </c>
      <c r="F114" s="485">
        <f t="shared" si="40"/>
        <v>7642220</v>
      </c>
      <c r="G114" s="485">
        <f t="shared" si="41"/>
        <v>7778601.5</v>
      </c>
      <c r="H114" s="488">
        <f t="shared" si="42"/>
        <v>1111383.7183531579</v>
      </c>
      <c r="I114" s="542">
        <f t="shared" si="43"/>
        <v>1111383.7183531579</v>
      </c>
      <c r="J114" s="478">
        <f t="shared" si="24"/>
        <v>0</v>
      </c>
      <c r="K114" s="478"/>
      <c r="L114" s="487"/>
      <c r="M114" s="478">
        <f t="shared" si="26"/>
        <v>0</v>
      </c>
      <c r="N114" s="487"/>
      <c r="O114" s="478">
        <f t="shared" si="28"/>
        <v>0</v>
      </c>
      <c r="P114" s="478">
        <f t="shared" si="29"/>
        <v>0</v>
      </c>
    </row>
    <row r="115" spans="2:16">
      <c r="B115" s="160" t="str">
        <f t="shared" si="30"/>
        <v/>
      </c>
      <c r="C115" s="472">
        <f>IF(D93="","-",+C114+1)</f>
        <v>2025</v>
      </c>
      <c r="D115" s="346">
        <f>IF(F114+SUM(E$99:E114)=D$92,F114,D$92-SUM(E$99:E114))</f>
        <v>7642220</v>
      </c>
      <c r="E115" s="486">
        <f>IF(+J96&lt;F114,J96,D115)</f>
        <v>272763</v>
      </c>
      <c r="F115" s="485">
        <f t="shared" si="40"/>
        <v>7369457</v>
      </c>
      <c r="G115" s="485">
        <f t="shared" si="41"/>
        <v>7505838.5</v>
      </c>
      <c r="H115" s="488">
        <f t="shared" si="42"/>
        <v>1081976.7995130343</v>
      </c>
      <c r="I115" s="542">
        <f t="shared" si="43"/>
        <v>1081976.7995130343</v>
      </c>
      <c r="J115" s="478">
        <f t="shared" si="24"/>
        <v>0</v>
      </c>
      <c r="K115" s="478"/>
      <c r="L115" s="487"/>
      <c r="M115" s="478">
        <f t="shared" si="26"/>
        <v>0</v>
      </c>
      <c r="N115" s="487"/>
      <c r="O115" s="478">
        <f t="shared" si="28"/>
        <v>0</v>
      </c>
      <c r="P115" s="478">
        <f t="shared" si="29"/>
        <v>0</v>
      </c>
    </row>
    <row r="116" spans="2:16">
      <c r="B116" s="160" t="str">
        <f t="shared" si="30"/>
        <v/>
      </c>
      <c r="C116" s="472">
        <f>IF(D93="","-",+C115+1)</f>
        <v>2026</v>
      </c>
      <c r="D116" s="346">
        <f>IF(F115+SUM(E$99:E115)=D$92,F115,D$92-SUM(E$99:E115))</f>
        <v>7369457</v>
      </c>
      <c r="E116" s="486">
        <f>IF(+J96&lt;F115,J96,D116)</f>
        <v>272763</v>
      </c>
      <c r="F116" s="485">
        <f t="shared" si="40"/>
        <v>7096694</v>
      </c>
      <c r="G116" s="485">
        <f t="shared" si="41"/>
        <v>7233075.5</v>
      </c>
      <c r="H116" s="488">
        <f t="shared" si="42"/>
        <v>1052569.8806729107</v>
      </c>
      <c r="I116" s="542">
        <f t="shared" si="43"/>
        <v>1052569.8806729107</v>
      </c>
      <c r="J116" s="478">
        <f t="shared" si="24"/>
        <v>0</v>
      </c>
      <c r="K116" s="478"/>
      <c r="L116" s="487"/>
      <c r="M116" s="478">
        <f t="shared" si="26"/>
        <v>0</v>
      </c>
      <c r="N116" s="487"/>
      <c r="O116" s="478">
        <f t="shared" si="28"/>
        <v>0</v>
      </c>
      <c r="P116" s="478">
        <f t="shared" si="29"/>
        <v>0</v>
      </c>
    </row>
    <row r="117" spans="2:16">
      <c r="B117" s="160" t="str">
        <f t="shared" si="30"/>
        <v/>
      </c>
      <c r="C117" s="472">
        <f>IF(D93="","-",+C116+1)</f>
        <v>2027</v>
      </c>
      <c r="D117" s="346">
        <f>IF(F116+SUM(E$99:E116)=D$92,F116,D$92-SUM(E$99:E116))</f>
        <v>7096694</v>
      </c>
      <c r="E117" s="486">
        <f>IF(+J96&lt;F116,J96,D117)</f>
        <v>272763</v>
      </c>
      <c r="F117" s="485">
        <f t="shared" si="40"/>
        <v>6823931</v>
      </c>
      <c r="G117" s="485">
        <f t="shared" si="41"/>
        <v>6960312.5</v>
      </c>
      <c r="H117" s="488">
        <f t="shared" si="42"/>
        <v>1023162.9618327875</v>
      </c>
      <c r="I117" s="542">
        <f t="shared" si="43"/>
        <v>1023162.9618327875</v>
      </c>
      <c r="J117" s="478">
        <f t="shared" si="24"/>
        <v>0</v>
      </c>
      <c r="K117" s="478"/>
      <c r="L117" s="487"/>
      <c r="M117" s="478">
        <f t="shared" si="26"/>
        <v>0</v>
      </c>
      <c r="N117" s="487"/>
      <c r="O117" s="478">
        <f t="shared" si="28"/>
        <v>0</v>
      </c>
      <c r="P117" s="478">
        <f t="shared" si="29"/>
        <v>0</v>
      </c>
    </row>
    <row r="118" spans="2:16">
      <c r="B118" s="160" t="str">
        <f t="shared" si="30"/>
        <v/>
      </c>
      <c r="C118" s="472">
        <f>IF(D93="","-",+C117+1)</f>
        <v>2028</v>
      </c>
      <c r="D118" s="346">
        <f>IF(F117+SUM(E$99:E117)=D$92,F117,D$92-SUM(E$99:E117))</f>
        <v>6823931</v>
      </c>
      <c r="E118" s="486">
        <f>IF(+J96&lt;F117,J96,D118)</f>
        <v>272763</v>
      </c>
      <c r="F118" s="485">
        <f t="shared" si="40"/>
        <v>6551168</v>
      </c>
      <c r="G118" s="485">
        <f t="shared" si="41"/>
        <v>6687549.5</v>
      </c>
      <c r="H118" s="488">
        <f t="shared" si="42"/>
        <v>993756.04299266404</v>
      </c>
      <c r="I118" s="542">
        <f t="shared" si="43"/>
        <v>993756.04299266404</v>
      </c>
      <c r="J118" s="478">
        <f t="shared" si="24"/>
        <v>0</v>
      </c>
      <c r="K118" s="478"/>
      <c r="L118" s="487"/>
      <c r="M118" s="478">
        <f t="shared" si="26"/>
        <v>0</v>
      </c>
      <c r="N118" s="487"/>
      <c r="O118" s="478">
        <f t="shared" si="28"/>
        <v>0</v>
      </c>
      <c r="P118" s="478">
        <f t="shared" si="29"/>
        <v>0</v>
      </c>
    </row>
    <row r="119" spans="2:16">
      <c r="B119" s="160" t="str">
        <f t="shared" si="30"/>
        <v/>
      </c>
      <c r="C119" s="472">
        <f>IF(D93="","-",+C118+1)</f>
        <v>2029</v>
      </c>
      <c r="D119" s="346">
        <f>IF(F118+SUM(E$99:E118)=D$92,F118,D$92-SUM(E$99:E118))</f>
        <v>6551168</v>
      </c>
      <c r="E119" s="486">
        <f>IF(+J96&lt;F118,J96,D119)</f>
        <v>272763</v>
      </c>
      <c r="F119" s="485">
        <f t="shared" si="40"/>
        <v>6278405</v>
      </c>
      <c r="G119" s="485">
        <f t="shared" si="41"/>
        <v>6414786.5</v>
      </c>
      <c r="H119" s="488">
        <f t="shared" si="42"/>
        <v>964349.12415254058</v>
      </c>
      <c r="I119" s="542">
        <f t="shared" si="43"/>
        <v>964349.12415254058</v>
      </c>
      <c r="J119" s="478">
        <f t="shared" si="24"/>
        <v>0</v>
      </c>
      <c r="K119" s="478"/>
      <c r="L119" s="487"/>
      <c r="M119" s="478">
        <f t="shared" si="26"/>
        <v>0</v>
      </c>
      <c r="N119" s="487"/>
      <c r="O119" s="478">
        <f t="shared" si="28"/>
        <v>0</v>
      </c>
      <c r="P119" s="478">
        <f t="shared" si="29"/>
        <v>0</v>
      </c>
    </row>
    <row r="120" spans="2:16">
      <c r="B120" s="160" t="str">
        <f t="shared" si="30"/>
        <v/>
      </c>
      <c r="C120" s="472">
        <f>IF(D93="","-",+C119+1)</f>
        <v>2030</v>
      </c>
      <c r="D120" s="346">
        <f>IF(F119+SUM(E$99:E119)=D$92,F119,D$92-SUM(E$99:E119))</f>
        <v>6278405</v>
      </c>
      <c r="E120" s="486">
        <f>IF(+J96&lt;F119,J96,D120)</f>
        <v>272763</v>
      </c>
      <c r="F120" s="485">
        <f t="shared" si="40"/>
        <v>6005642</v>
      </c>
      <c r="G120" s="485">
        <f t="shared" si="41"/>
        <v>6142023.5</v>
      </c>
      <c r="H120" s="488">
        <f t="shared" si="42"/>
        <v>934942.20531241712</v>
      </c>
      <c r="I120" s="542">
        <f t="shared" si="43"/>
        <v>934942.20531241712</v>
      </c>
      <c r="J120" s="478">
        <f t="shared" si="24"/>
        <v>0</v>
      </c>
      <c r="K120" s="478"/>
      <c r="L120" s="487"/>
      <c r="M120" s="478">
        <f t="shared" si="26"/>
        <v>0</v>
      </c>
      <c r="N120" s="487"/>
      <c r="O120" s="478">
        <f t="shared" si="28"/>
        <v>0</v>
      </c>
      <c r="P120" s="478">
        <f t="shared" si="29"/>
        <v>0</v>
      </c>
    </row>
    <row r="121" spans="2:16">
      <c r="B121" s="160" t="str">
        <f t="shared" si="30"/>
        <v/>
      </c>
      <c r="C121" s="472">
        <f>IF(D93="","-",+C120+1)</f>
        <v>2031</v>
      </c>
      <c r="D121" s="346">
        <f>IF(F120+SUM(E$99:E120)=D$92,F120,D$92-SUM(E$99:E120))</f>
        <v>6005642</v>
      </c>
      <c r="E121" s="486">
        <f>IF(+J96&lt;F120,J96,D121)</f>
        <v>272763</v>
      </c>
      <c r="F121" s="485">
        <f t="shared" si="40"/>
        <v>5732879</v>
      </c>
      <c r="G121" s="485">
        <f t="shared" si="41"/>
        <v>5869260.5</v>
      </c>
      <c r="H121" s="488">
        <f t="shared" si="42"/>
        <v>905535.28647229378</v>
      </c>
      <c r="I121" s="542">
        <f t="shared" si="43"/>
        <v>905535.28647229378</v>
      </c>
      <c r="J121" s="478">
        <f t="shared" si="24"/>
        <v>0</v>
      </c>
      <c r="K121" s="478"/>
      <c r="L121" s="487"/>
      <c r="M121" s="478">
        <f t="shared" si="26"/>
        <v>0</v>
      </c>
      <c r="N121" s="487"/>
      <c r="O121" s="478">
        <f t="shared" si="28"/>
        <v>0</v>
      </c>
      <c r="P121" s="478">
        <f t="shared" si="29"/>
        <v>0</v>
      </c>
    </row>
    <row r="122" spans="2:16">
      <c r="B122" s="160" t="str">
        <f t="shared" si="30"/>
        <v/>
      </c>
      <c r="C122" s="472">
        <f>IF(D93="","-",+C121+1)</f>
        <v>2032</v>
      </c>
      <c r="D122" s="346">
        <f>IF(F121+SUM(E$99:E121)=D$92,F121,D$92-SUM(E$99:E121))</f>
        <v>5732879</v>
      </c>
      <c r="E122" s="486">
        <f>IF(+J96&lt;F121,J96,D122)</f>
        <v>272763</v>
      </c>
      <c r="F122" s="485">
        <f t="shared" si="40"/>
        <v>5460116</v>
      </c>
      <c r="G122" s="485">
        <f t="shared" si="41"/>
        <v>5596497.5</v>
      </c>
      <c r="H122" s="488">
        <f t="shared" si="42"/>
        <v>876128.36763217032</v>
      </c>
      <c r="I122" s="542">
        <f t="shared" si="43"/>
        <v>876128.36763217032</v>
      </c>
      <c r="J122" s="478">
        <f t="shared" si="24"/>
        <v>0</v>
      </c>
      <c r="K122" s="478"/>
      <c r="L122" s="487"/>
      <c r="M122" s="478">
        <f t="shared" si="26"/>
        <v>0</v>
      </c>
      <c r="N122" s="487"/>
      <c r="O122" s="478">
        <f t="shared" si="28"/>
        <v>0</v>
      </c>
      <c r="P122" s="478">
        <f t="shared" si="29"/>
        <v>0</v>
      </c>
    </row>
    <row r="123" spans="2:16">
      <c r="B123" s="160" t="str">
        <f t="shared" si="30"/>
        <v/>
      </c>
      <c r="C123" s="472">
        <f>IF(D93="","-",+C122+1)</f>
        <v>2033</v>
      </c>
      <c r="D123" s="346">
        <f>IF(F122+SUM(E$99:E122)=D$92,F122,D$92-SUM(E$99:E122))</f>
        <v>5460116</v>
      </c>
      <c r="E123" s="486">
        <f>IF(+J96&lt;F122,J96,D123)</f>
        <v>272763</v>
      </c>
      <c r="F123" s="485">
        <f t="shared" si="40"/>
        <v>5187353</v>
      </c>
      <c r="G123" s="485">
        <f t="shared" si="41"/>
        <v>5323734.5</v>
      </c>
      <c r="H123" s="488">
        <f t="shared" si="42"/>
        <v>846721.44879204687</v>
      </c>
      <c r="I123" s="542">
        <f t="shared" si="43"/>
        <v>846721.44879204687</v>
      </c>
      <c r="J123" s="478">
        <f t="shared" si="24"/>
        <v>0</v>
      </c>
      <c r="K123" s="478"/>
      <c r="L123" s="487"/>
      <c r="M123" s="478">
        <f t="shared" si="26"/>
        <v>0</v>
      </c>
      <c r="N123" s="487"/>
      <c r="O123" s="478">
        <f t="shared" si="28"/>
        <v>0</v>
      </c>
      <c r="P123" s="478">
        <f t="shared" si="29"/>
        <v>0</v>
      </c>
    </row>
    <row r="124" spans="2:16">
      <c r="B124" s="160" t="str">
        <f t="shared" si="30"/>
        <v/>
      </c>
      <c r="C124" s="472">
        <f>IF(D93="","-",+C123+1)</f>
        <v>2034</v>
      </c>
      <c r="D124" s="346">
        <f>IF(F123+SUM(E$99:E123)=D$92,F123,D$92-SUM(E$99:E123))</f>
        <v>5187353</v>
      </c>
      <c r="E124" s="486">
        <f>IF(+J96&lt;F123,J96,D124)</f>
        <v>272763</v>
      </c>
      <c r="F124" s="485">
        <f t="shared" si="40"/>
        <v>4914590</v>
      </c>
      <c r="G124" s="485">
        <f t="shared" si="41"/>
        <v>5050971.5</v>
      </c>
      <c r="H124" s="488">
        <f t="shared" si="42"/>
        <v>817314.52995192341</v>
      </c>
      <c r="I124" s="542">
        <f t="shared" si="43"/>
        <v>817314.52995192341</v>
      </c>
      <c r="J124" s="478">
        <f t="shared" si="24"/>
        <v>0</v>
      </c>
      <c r="K124" s="478"/>
      <c r="L124" s="487"/>
      <c r="M124" s="478">
        <f t="shared" si="26"/>
        <v>0</v>
      </c>
      <c r="N124" s="487"/>
      <c r="O124" s="478">
        <f t="shared" si="28"/>
        <v>0</v>
      </c>
      <c r="P124" s="478">
        <f t="shared" si="29"/>
        <v>0</v>
      </c>
    </row>
    <row r="125" spans="2:16">
      <c r="B125" s="160" t="str">
        <f t="shared" si="30"/>
        <v/>
      </c>
      <c r="C125" s="472">
        <f>IF(D93="","-",+C124+1)</f>
        <v>2035</v>
      </c>
      <c r="D125" s="346">
        <f>IF(F124+SUM(E$99:E124)=D$92,F124,D$92-SUM(E$99:E124))</f>
        <v>4914590</v>
      </c>
      <c r="E125" s="486">
        <f>IF(+J96&lt;F124,J96,D125)</f>
        <v>272763</v>
      </c>
      <c r="F125" s="485">
        <f t="shared" si="40"/>
        <v>4641827</v>
      </c>
      <c r="G125" s="485">
        <f t="shared" si="41"/>
        <v>4778208.5</v>
      </c>
      <c r="H125" s="488">
        <f t="shared" si="42"/>
        <v>787907.61111179995</v>
      </c>
      <c r="I125" s="542">
        <f t="shared" si="43"/>
        <v>787907.61111179995</v>
      </c>
      <c r="J125" s="478">
        <f t="shared" si="24"/>
        <v>0</v>
      </c>
      <c r="K125" s="478"/>
      <c r="L125" s="487"/>
      <c r="M125" s="478">
        <f t="shared" si="26"/>
        <v>0</v>
      </c>
      <c r="N125" s="487"/>
      <c r="O125" s="478">
        <f t="shared" si="28"/>
        <v>0</v>
      </c>
      <c r="P125" s="478">
        <f t="shared" si="29"/>
        <v>0</v>
      </c>
    </row>
    <row r="126" spans="2:16">
      <c r="B126" s="160" t="str">
        <f t="shared" si="30"/>
        <v/>
      </c>
      <c r="C126" s="472">
        <f>IF(D93="","-",+C125+1)</f>
        <v>2036</v>
      </c>
      <c r="D126" s="346">
        <f>IF(F125+SUM(E$99:E125)=D$92,F125,D$92-SUM(E$99:E125))</f>
        <v>4641827</v>
      </c>
      <c r="E126" s="486">
        <f>IF(+J96&lt;F125,J96,D126)</f>
        <v>272763</v>
      </c>
      <c r="F126" s="485">
        <f t="shared" si="40"/>
        <v>4369064</v>
      </c>
      <c r="G126" s="485">
        <f t="shared" si="41"/>
        <v>4505445.5</v>
      </c>
      <c r="H126" s="488">
        <f t="shared" si="42"/>
        <v>758500.69227167661</v>
      </c>
      <c r="I126" s="542">
        <f t="shared" si="43"/>
        <v>758500.69227167661</v>
      </c>
      <c r="J126" s="478">
        <f t="shared" si="24"/>
        <v>0</v>
      </c>
      <c r="K126" s="478"/>
      <c r="L126" s="487"/>
      <c r="M126" s="478">
        <f t="shared" si="26"/>
        <v>0</v>
      </c>
      <c r="N126" s="487"/>
      <c r="O126" s="478">
        <f t="shared" si="28"/>
        <v>0</v>
      </c>
      <c r="P126" s="478">
        <f t="shared" si="29"/>
        <v>0</v>
      </c>
    </row>
    <row r="127" spans="2:16">
      <c r="B127" s="160" t="str">
        <f t="shared" si="30"/>
        <v/>
      </c>
      <c r="C127" s="472">
        <f>IF(D93="","-",+C126+1)</f>
        <v>2037</v>
      </c>
      <c r="D127" s="346">
        <f>IF(F126+SUM(E$99:E126)=D$92,F126,D$92-SUM(E$99:E126))</f>
        <v>4369064</v>
      </c>
      <c r="E127" s="486">
        <f>IF(+J96&lt;F126,J96,D127)</f>
        <v>272763</v>
      </c>
      <c r="F127" s="485">
        <f t="shared" si="40"/>
        <v>4096301</v>
      </c>
      <c r="G127" s="485">
        <f t="shared" si="41"/>
        <v>4232682.5</v>
      </c>
      <c r="H127" s="488">
        <f t="shared" si="42"/>
        <v>729093.77343155316</v>
      </c>
      <c r="I127" s="542">
        <f t="shared" si="43"/>
        <v>729093.77343155316</v>
      </c>
      <c r="J127" s="478">
        <f t="shared" si="24"/>
        <v>0</v>
      </c>
      <c r="K127" s="478"/>
      <c r="L127" s="487"/>
      <c r="M127" s="478">
        <f t="shared" si="26"/>
        <v>0</v>
      </c>
      <c r="N127" s="487"/>
      <c r="O127" s="478">
        <f t="shared" si="28"/>
        <v>0</v>
      </c>
      <c r="P127" s="478">
        <f t="shared" si="29"/>
        <v>0</v>
      </c>
    </row>
    <row r="128" spans="2:16">
      <c r="B128" s="160" t="str">
        <f t="shared" si="30"/>
        <v/>
      </c>
      <c r="C128" s="472">
        <f>IF(D93="","-",+C127+1)</f>
        <v>2038</v>
      </c>
      <c r="D128" s="346">
        <f>IF(F127+SUM(E$99:E127)=D$92,F127,D$92-SUM(E$99:E127))</f>
        <v>4096301</v>
      </c>
      <c r="E128" s="486">
        <f>IF(+J96&lt;F127,J96,D128)</f>
        <v>272763</v>
      </c>
      <c r="F128" s="485">
        <f t="shared" si="40"/>
        <v>3823538</v>
      </c>
      <c r="G128" s="485">
        <f t="shared" si="41"/>
        <v>3959919.5</v>
      </c>
      <c r="H128" s="488">
        <f t="shared" si="42"/>
        <v>699686.8545914297</v>
      </c>
      <c r="I128" s="542">
        <f t="shared" si="43"/>
        <v>699686.8545914297</v>
      </c>
      <c r="J128" s="478">
        <f t="shared" si="24"/>
        <v>0</v>
      </c>
      <c r="K128" s="478"/>
      <c r="L128" s="487"/>
      <c r="M128" s="478">
        <f t="shared" si="26"/>
        <v>0</v>
      </c>
      <c r="N128" s="487"/>
      <c r="O128" s="478">
        <f t="shared" si="28"/>
        <v>0</v>
      </c>
      <c r="P128" s="478">
        <f t="shared" si="29"/>
        <v>0</v>
      </c>
    </row>
    <row r="129" spans="2:16">
      <c r="B129" s="160" t="str">
        <f t="shared" si="30"/>
        <v/>
      </c>
      <c r="C129" s="472">
        <f>IF(D93="","-",+C128+1)</f>
        <v>2039</v>
      </c>
      <c r="D129" s="346">
        <f>IF(F128+SUM(E$99:E128)=D$92,F128,D$92-SUM(E$99:E128))</f>
        <v>3823538</v>
      </c>
      <c r="E129" s="486">
        <f>IF(+J96&lt;F128,J96,D129)</f>
        <v>272763</v>
      </c>
      <c r="F129" s="485">
        <f t="shared" si="40"/>
        <v>3550775</v>
      </c>
      <c r="G129" s="485">
        <f t="shared" si="41"/>
        <v>3687156.5</v>
      </c>
      <c r="H129" s="488">
        <f t="shared" si="42"/>
        <v>670279.93575130636</v>
      </c>
      <c r="I129" s="542">
        <f t="shared" si="43"/>
        <v>670279.93575130636</v>
      </c>
      <c r="J129" s="478">
        <f t="shared" si="24"/>
        <v>0</v>
      </c>
      <c r="K129" s="478"/>
      <c r="L129" s="487"/>
      <c r="M129" s="478">
        <f t="shared" si="26"/>
        <v>0</v>
      </c>
      <c r="N129" s="487"/>
      <c r="O129" s="478">
        <f t="shared" si="28"/>
        <v>0</v>
      </c>
      <c r="P129" s="478">
        <f t="shared" si="29"/>
        <v>0</v>
      </c>
    </row>
    <row r="130" spans="2:16">
      <c r="B130" s="160" t="str">
        <f t="shared" si="30"/>
        <v/>
      </c>
      <c r="C130" s="472">
        <f>IF(D93="","-",+C129+1)</f>
        <v>2040</v>
      </c>
      <c r="D130" s="346">
        <f>IF(F129+SUM(E$99:E129)=D$92,F129,D$92-SUM(E$99:E129))</f>
        <v>3550775</v>
      </c>
      <c r="E130" s="486">
        <f>IF(+J96&lt;F129,J96,D130)</f>
        <v>272763</v>
      </c>
      <c r="F130" s="485">
        <f t="shared" si="40"/>
        <v>3278012</v>
      </c>
      <c r="G130" s="485">
        <f t="shared" si="41"/>
        <v>3414393.5</v>
      </c>
      <c r="H130" s="488">
        <f t="shared" si="42"/>
        <v>640873.01691118279</v>
      </c>
      <c r="I130" s="542">
        <f t="shared" si="43"/>
        <v>640873.01691118279</v>
      </c>
      <c r="J130" s="478">
        <f t="shared" si="24"/>
        <v>0</v>
      </c>
      <c r="K130" s="478"/>
      <c r="L130" s="487"/>
      <c r="M130" s="478">
        <f t="shared" si="26"/>
        <v>0</v>
      </c>
      <c r="N130" s="487"/>
      <c r="O130" s="478">
        <f t="shared" si="28"/>
        <v>0</v>
      </c>
      <c r="P130" s="478">
        <f t="shared" si="29"/>
        <v>0</v>
      </c>
    </row>
    <row r="131" spans="2:16">
      <c r="B131" s="160" t="str">
        <f t="shared" si="30"/>
        <v/>
      </c>
      <c r="C131" s="472">
        <f>IF(D93="","-",+C130+1)</f>
        <v>2041</v>
      </c>
      <c r="D131" s="346">
        <f>IF(F130+SUM(E$99:E130)=D$92,F130,D$92-SUM(E$99:E130))</f>
        <v>3278012</v>
      </c>
      <c r="E131" s="486">
        <f>IF(+J96&lt;F130,J96,D131)</f>
        <v>272763</v>
      </c>
      <c r="F131" s="485">
        <f t="shared" ref="F131:F154" si="44">+D131-E131</f>
        <v>3005249</v>
      </c>
      <c r="G131" s="485">
        <f t="shared" ref="G131:G154" si="45">+(F131+D131)/2</f>
        <v>3141630.5</v>
      </c>
      <c r="H131" s="488">
        <f t="shared" si="42"/>
        <v>611466.09807105944</v>
      </c>
      <c r="I131" s="542">
        <f t="shared" si="43"/>
        <v>611466.09807105944</v>
      </c>
      <c r="J131" s="478">
        <f t="shared" ref="J131:J154" si="46">+I131-H131</f>
        <v>0</v>
      </c>
      <c r="K131" s="478"/>
      <c r="L131" s="487"/>
      <c r="M131" s="478">
        <f t="shared" ref="M131:M154" si="47">IF(L131&lt;&gt;0,+H131-L131,0)</f>
        <v>0</v>
      </c>
      <c r="N131" s="487"/>
      <c r="O131" s="478">
        <f t="shared" ref="O131:O154" si="48">IF(N131&lt;&gt;0,+I131-N131,0)</f>
        <v>0</v>
      </c>
      <c r="P131" s="478">
        <f t="shared" ref="P131:P154" si="49">+O131-M131</f>
        <v>0</v>
      </c>
    </row>
    <row r="132" spans="2:16">
      <c r="B132" s="160" t="str">
        <f t="shared" si="30"/>
        <v/>
      </c>
      <c r="C132" s="472">
        <f>IF(D93="","-",+C131+1)</f>
        <v>2042</v>
      </c>
      <c r="D132" s="346">
        <f>IF(F131+SUM(E$99:E131)=D$92,F131,D$92-SUM(E$99:E131))</f>
        <v>3005249</v>
      </c>
      <c r="E132" s="486">
        <f>IF(+J96&lt;F131,J96,D132)</f>
        <v>272763</v>
      </c>
      <c r="F132" s="485">
        <f t="shared" si="44"/>
        <v>2732486</v>
      </c>
      <c r="G132" s="485">
        <f t="shared" si="45"/>
        <v>2868867.5</v>
      </c>
      <c r="H132" s="488">
        <f t="shared" si="42"/>
        <v>582059.17923093599</v>
      </c>
      <c r="I132" s="542">
        <f t="shared" si="43"/>
        <v>582059.17923093599</v>
      </c>
      <c r="J132" s="478">
        <f t="shared" si="46"/>
        <v>0</v>
      </c>
      <c r="K132" s="478"/>
      <c r="L132" s="487"/>
      <c r="M132" s="478">
        <f t="shared" si="47"/>
        <v>0</v>
      </c>
      <c r="N132" s="487"/>
      <c r="O132" s="478">
        <f t="shared" si="48"/>
        <v>0</v>
      </c>
      <c r="P132" s="478">
        <f t="shared" si="49"/>
        <v>0</v>
      </c>
    </row>
    <row r="133" spans="2:16">
      <c r="B133" s="160" t="str">
        <f t="shared" si="30"/>
        <v/>
      </c>
      <c r="C133" s="472">
        <f>IF(D93="","-",+C132+1)</f>
        <v>2043</v>
      </c>
      <c r="D133" s="346">
        <f>IF(F132+SUM(E$99:E132)=D$92,F132,D$92-SUM(E$99:E132))</f>
        <v>2732486</v>
      </c>
      <c r="E133" s="486">
        <f>IF(+J96&lt;F132,J96,D133)</f>
        <v>272763</v>
      </c>
      <c r="F133" s="485">
        <f t="shared" si="44"/>
        <v>2459723</v>
      </c>
      <c r="G133" s="485">
        <f t="shared" si="45"/>
        <v>2596104.5</v>
      </c>
      <c r="H133" s="488">
        <f t="shared" si="42"/>
        <v>552652.26039081253</v>
      </c>
      <c r="I133" s="542">
        <f t="shared" si="43"/>
        <v>552652.26039081253</v>
      </c>
      <c r="J133" s="478">
        <f t="shared" si="46"/>
        <v>0</v>
      </c>
      <c r="K133" s="478"/>
      <c r="L133" s="487"/>
      <c r="M133" s="478">
        <f t="shared" si="47"/>
        <v>0</v>
      </c>
      <c r="N133" s="487"/>
      <c r="O133" s="478">
        <f t="shared" si="48"/>
        <v>0</v>
      </c>
      <c r="P133" s="478">
        <f t="shared" si="49"/>
        <v>0</v>
      </c>
    </row>
    <row r="134" spans="2:16">
      <c r="B134" s="160" t="str">
        <f t="shared" si="30"/>
        <v/>
      </c>
      <c r="C134" s="472">
        <f>IF(D93="","-",+C133+1)</f>
        <v>2044</v>
      </c>
      <c r="D134" s="346">
        <f>IF(F133+SUM(E$99:E133)=D$92,F133,D$92-SUM(E$99:E133))</f>
        <v>2459723</v>
      </c>
      <c r="E134" s="486">
        <f>IF(+J96&lt;F133,J96,D134)</f>
        <v>272763</v>
      </c>
      <c r="F134" s="485">
        <f t="shared" si="44"/>
        <v>2186960</v>
      </c>
      <c r="G134" s="485">
        <f t="shared" si="45"/>
        <v>2323341.5</v>
      </c>
      <c r="H134" s="488">
        <f t="shared" si="42"/>
        <v>523245.34155068919</v>
      </c>
      <c r="I134" s="542">
        <f t="shared" si="43"/>
        <v>523245.34155068919</v>
      </c>
      <c r="J134" s="478">
        <f t="shared" si="46"/>
        <v>0</v>
      </c>
      <c r="K134" s="478"/>
      <c r="L134" s="487"/>
      <c r="M134" s="478">
        <f t="shared" si="47"/>
        <v>0</v>
      </c>
      <c r="N134" s="487"/>
      <c r="O134" s="478">
        <f t="shared" si="48"/>
        <v>0</v>
      </c>
      <c r="P134" s="478">
        <f t="shared" si="49"/>
        <v>0</v>
      </c>
    </row>
    <row r="135" spans="2:16">
      <c r="B135" s="160" t="str">
        <f t="shared" si="30"/>
        <v/>
      </c>
      <c r="C135" s="472">
        <f>IF(D93="","-",+C134+1)</f>
        <v>2045</v>
      </c>
      <c r="D135" s="346">
        <f>IF(F134+SUM(E$99:E134)=D$92,F134,D$92-SUM(E$99:E134))</f>
        <v>2186960</v>
      </c>
      <c r="E135" s="486">
        <f>IF(+J96&lt;F134,J96,D135)</f>
        <v>272763</v>
      </c>
      <c r="F135" s="485">
        <f t="shared" si="44"/>
        <v>1914197</v>
      </c>
      <c r="G135" s="485">
        <f t="shared" si="45"/>
        <v>2050578.5</v>
      </c>
      <c r="H135" s="488">
        <f t="shared" si="42"/>
        <v>493838.42271056573</v>
      </c>
      <c r="I135" s="542">
        <f t="shared" si="43"/>
        <v>493838.42271056573</v>
      </c>
      <c r="J135" s="478">
        <f t="shared" si="46"/>
        <v>0</v>
      </c>
      <c r="K135" s="478"/>
      <c r="L135" s="487"/>
      <c r="M135" s="478">
        <f t="shared" si="47"/>
        <v>0</v>
      </c>
      <c r="N135" s="487"/>
      <c r="O135" s="478">
        <f t="shared" si="48"/>
        <v>0</v>
      </c>
      <c r="P135" s="478">
        <f t="shared" si="49"/>
        <v>0</v>
      </c>
    </row>
    <row r="136" spans="2:16">
      <c r="B136" s="160" t="str">
        <f t="shared" si="30"/>
        <v/>
      </c>
      <c r="C136" s="472">
        <f>IF(D93="","-",+C135+1)</f>
        <v>2046</v>
      </c>
      <c r="D136" s="346">
        <f>IF(F135+SUM(E$99:E135)=D$92,F135,D$92-SUM(E$99:E135))</f>
        <v>1914197</v>
      </c>
      <c r="E136" s="486">
        <f>IF(+J96&lt;F135,J96,D136)</f>
        <v>272763</v>
      </c>
      <c r="F136" s="485">
        <f t="shared" si="44"/>
        <v>1641434</v>
      </c>
      <c r="G136" s="485">
        <f t="shared" si="45"/>
        <v>1777815.5</v>
      </c>
      <c r="H136" s="488">
        <f t="shared" si="42"/>
        <v>464431.50387044228</v>
      </c>
      <c r="I136" s="542">
        <f t="shared" si="43"/>
        <v>464431.50387044228</v>
      </c>
      <c r="J136" s="478">
        <f t="shared" si="46"/>
        <v>0</v>
      </c>
      <c r="K136" s="478"/>
      <c r="L136" s="487"/>
      <c r="M136" s="478">
        <f t="shared" si="47"/>
        <v>0</v>
      </c>
      <c r="N136" s="487"/>
      <c r="O136" s="478">
        <f t="shared" si="48"/>
        <v>0</v>
      </c>
      <c r="P136" s="478">
        <f t="shared" si="49"/>
        <v>0</v>
      </c>
    </row>
    <row r="137" spans="2:16">
      <c r="B137" s="160" t="str">
        <f t="shared" si="30"/>
        <v/>
      </c>
      <c r="C137" s="472">
        <f>IF(D93="","-",+C136+1)</f>
        <v>2047</v>
      </c>
      <c r="D137" s="346">
        <f>IF(F136+SUM(E$99:E136)=D$92,F136,D$92-SUM(E$99:E136))</f>
        <v>1641434</v>
      </c>
      <c r="E137" s="486">
        <f>IF(+J96&lt;F136,J96,D137)</f>
        <v>272763</v>
      </c>
      <c r="F137" s="485">
        <f t="shared" si="44"/>
        <v>1368671</v>
      </c>
      <c r="G137" s="485">
        <f t="shared" si="45"/>
        <v>1505052.5</v>
      </c>
      <c r="H137" s="488">
        <f t="shared" si="42"/>
        <v>435024.58503031888</v>
      </c>
      <c r="I137" s="542">
        <f t="shared" si="43"/>
        <v>435024.58503031888</v>
      </c>
      <c r="J137" s="478">
        <f t="shared" si="46"/>
        <v>0</v>
      </c>
      <c r="K137" s="478"/>
      <c r="L137" s="487"/>
      <c r="M137" s="478">
        <f t="shared" si="47"/>
        <v>0</v>
      </c>
      <c r="N137" s="487"/>
      <c r="O137" s="478">
        <f t="shared" si="48"/>
        <v>0</v>
      </c>
      <c r="P137" s="478">
        <f t="shared" si="49"/>
        <v>0</v>
      </c>
    </row>
    <row r="138" spans="2:16">
      <c r="B138" s="160" t="str">
        <f t="shared" si="30"/>
        <v/>
      </c>
      <c r="C138" s="472">
        <f>IF(D93="","-",+C137+1)</f>
        <v>2048</v>
      </c>
      <c r="D138" s="346">
        <f>IF(F137+SUM(E$99:E137)=D$92,F137,D$92-SUM(E$99:E137))</f>
        <v>1368671</v>
      </c>
      <c r="E138" s="486">
        <f>IF(+J96&lt;F137,J96,D138)</f>
        <v>272763</v>
      </c>
      <c r="F138" s="485">
        <f t="shared" si="44"/>
        <v>1095908</v>
      </c>
      <c r="G138" s="485">
        <f t="shared" si="45"/>
        <v>1232289.5</v>
      </c>
      <c r="H138" s="488">
        <f t="shared" si="42"/>
        <v>405617.66619019548</v>
      </c>
      <c r="I138" s="542">
        <f t="shared" si="43"/>
        <v>405617.66619019548</v>
      </c>
      <c r="J138" s="478">
        <f t="shared" si="46"/>
        <v>0</v>
      </c>
      <c r="K138" s="478"/>
      <c r="L138" s="487"/>
      <c r="M138" s="478">
        <f t="shared" si="47"/>
        <v>0</v>
      </c>
      <c r="N138" s="487"/>
      <c r="O138" s="478">
        <f t="shared" si="48"/>
        <v>0</v>
      </c>
      <c r="P138" s="478">
        <f t="shared" si="49"/>
        <v>0</v>
      </c>
    </row>
    <row r="139" spans="2:16">
      <c r="B139" s="160" t="str">
        <f t="shared" si="30"/>
        <v/>
      </c>
      <c r="C139" s="472">
        <f>IF(D93="","-",+C138+1)</f>
        <v>2049</v>
      </c>
      <c r="D139" s="346">
        <f>IF(F138+SUM(E$99:E138)=D$92,F138,D$92-SUM(E$99:E138))</f>
        <v>1095908</v>
      </c>
      <c r="E139" s="486">
        <f>IF(+J96&lt;F138,J96,D139)</f>
        <v>272763</v>
      </c>
      <c r="F139" s="485">
        <f t="shared" si="44"/>
        <v>823145</v>
      </c>
      <c r="G139" s="485">
        <f t="shared" si="45"/>
        <v>959526.5</v>
      </c>
      <c r="H139" s="488">
        <f t="shared" si="42"/>
        <v>376210.74735007202</v>
      </c>
      <c r="I139" s="542">
        <f t="shared" si="43"/>
        <v>376210.74735007202</v>
      </c>
      <c r="J139" s="478">
        <f t="shared" si="46"/>
        <v>0</v>
      </c>
      <c r="K139" s="478"/>
      <c r="L139" s="487"/>
      <c r="M139" s="478">
        <f t="shared" si="47"/>
        <v>0</v>
      </c>
      <c r="N139" s="487"/>
      <c r="O139" s="478">
        <f t="shared" si="48"/>
        <v>0</v>
      </c>
      <c r="P139" s="478">
        <f t="shared" si="49"/>
        <v>0</v>
      </c>
    </row>
    <row r="140" spans="2:16">
      <c r="B140" s="160" t="str">
        <f t="shared" si="30"/>
        <v/>
      </c>
      <c r="C140" s="472">
        <f>IF(D93="","-",+C139+1)</f>
        <v>2050</v>
      </c>
      <c r="D140" s="346">
        <f>IF(F139+SUM(E$99:E139)=D$92,F139,D$92-SUM(E$99:E139))</f>
        <v>823145</v>
      </c>
      <c r="E140" s="486">
        <f>IF(+J96&lt;F139,J96,D140)</f>
        <v>272763</v>
      </c>
      <c r="F140" s="485">
        <f t="shared" si="44"/>
        <v>550382</v>
      </c>
      <c r="G140" s="485">
        <f t="shared" si="45"/>
        <v>686763.5</v>
      </c>
      <c r="H140" s="488">
        <f t="shared" si="42"/>
        <v>346803.82850994857</v>
      </c>
      <c r="I140" s="542">
        <f t="shared" si="43"/>
        <v>346803.82850994857</v>
      </c>
      <c r="J140" s="478">
        <f t="shared" si="46"/>
        <v>0</v>
      </c>
      <c r="K140" s="478"/>
      <c r="L140" s="487"/>
      <c r="M140" s="478">
        <f t="shared" si="47"/>
        <v>0</v>
      </c>
      <c r="N140" s="487"/>
      <c r="O140" s="478">
        <f t="shared" si="48"/>
        <v>0</v>
      </c>
      <c r="P140" s="478">
        <f t="shared" si="49"/>
        <v>0</v>
      </c>
    </row>
    <row r="141" spans="2:16">
      <c r="B141" s="160" t="str">
        <f t="shared" si="30"/>
        <v/>
      </c>
      <c r="C141" s="472">
        <f>IF(D93="","-",+C140+1)</f>
        <v>2051</v>
      </c>
      <c r="D141" s="346">
        <f>IF(F140+SUM(E$99:E140)=D$92,F140,D$92-SUM(E$99:E140))</f>
        <v>550382</v>
      </c>
      <c r="E141" s="486">
        <f>IF(+J96&lt;F140,J96,D141)</f>
        <v>272763</v>
      </c>
      <c r="F141" s="485">
        <f t="shared" si="44"/>
        <v>277619</v>
      </c>
      <c r="G141" s="485">
        <f t="shared" si="45"/>
        <v>414000.5</v>
      </c>
      <c r="H141" s="488">
        <f t="shared" si="42"/>
        <v>317396.90966982517</v>
      </c>
      <c r="I141" s="542">
        <f t="shared" si="43"/>
        <v>317396.90966982517</v>
      </c>
      <c r="J141" s="478">
        <f t="shared" si="46"/>
        <v>0</v>
      </c>
      <c r="K141" s="478"/>
      <c r="L141" s="487"/>
      <c r="M141" s="478">
        <f t="shared" si="47"/>
        <v>0</v>
      </c>
      <c r="N141" s="487"/>
      <c r="O141" s="478">
        <f t="shared" si="48"/>
        <v>0</v>
      </c>
      <c r="P141" s="478">
        <f t="shared" si="49"/>
        <v>0</v>
      </c>
    </row>
    <row r="142" spans="2:16">
      <c r="B142" s="160" t="str">
        <f t="shared" si="30"/>
        <v/>
      </c>
      <c r="C142" s="472">
        <f>IF(D93="","-",+C141+1)</f>
        <v>2052</v>
      </c>
      <c r="D142" s="346">
        <f>IF(F141+SUM(E$99:E141)=D$92,F141,D$92-SUM(E$99:E141))</f>
        <v>277619</v>
      </c>
      <c r="E142" s="486">
        <f>IF(+J96&lt;F141,J96,D142)</f>
        <v>272763</v>
      </c>
      <c r="F142" s="485">
        <f t="shared" si="44"/>
        <v>4856</v>
      </c>
      <c r="G142" s="485">
        <f t="shared" si="45"/>
        <v>141237.5</v>
      </c>
      <c r="H142" s="488">
        <f t="shared" si="42"/>
        <v>287989.99082970171</v>
      </c>
      <c r="I142" s="542">
        <f t="shared" si="43"/>
        <v>287989.99082970171</v>
      </c>
      <c r="J142" s="478">
        <f t="shared" si="46"/>
        <v>0</v>
      </c>
      <c r="K142" s="478"/>
      <c r="L142" s="487"/>
      <c r="M142" s="478">
        <f t="shared" si="47"/>
        <v>0</v>
      </c>
      <c r="N142" s="487"/>
      <c r="O142" s="478">
        <f t="shared" si="48"/>
        <v>0</v>
      </c>
      <c r="P142" s="478">
        <f t="shared" si="49"/>
        <v>0</v>
      </c>
    </row>
    <row r="143" spans="2:16">
      <c r="B143" s="160" t="str">
        <f t="shared" si="30"/>
        <v/>
      </c>
      <c r="C143" s="472">
        <f>IF(D93="","-",+C142+1)</f>
        <v>2053</v>
      </c>
      <c r="D143" s="346">
        <f>IF(F142+SUM(E$99:E142)=D$92,F142,D$92-SUM(E$99:E142))</f>
        <v>4856</v>
      </c>
      <c r="E143" s="486">
        <f>IF(+J96&lt;F142,J96,D143)</f>
        <v>4856</v>
      </c>
      <c r="F143" s="485">
        <f t="shared" si="44"/>
        <v>0</v>
      </c>
      <c r="G143" s="485">
        <f t="shared" si="45"/>
        <v>2428</v>
      </c>
      <c r="H143" s="488">
        <f t="shared" si="42"/>
        <v>5117.7657048200072</v>
      </c>
      <c r="I143" s="542">
        <f t="shared" si="43"/>
        <v>5117.7657048200072</v>
      </c>
      <c r="J143" s="478">
        <f t="shared" si="46"/>
        <v>0</v>
      </c>
      <c r="K143" s="478"/>
      <c r="L143" s="487"/>
      <c r="M143" s="478">
        <f t="shared" si="47"/>
        <v>0</v>
      </c>
      <c r="N143" s="487"/>
      <c r="O143" s="478">
        <f t="shared" si="48"/>
        <v>0</v>
      </c>
      <c r="P143" s="478">
        <f t="shared" si="49"/>
        <v>0</v>
      </c>
    </row>
    <row r="144" spans="2:16">
      <c r="B144" s="160" t="str">
        <f t="shared" si="30"/>
        <v/>
      </c>
      <c r="C144" s="472">
        <f>IF(D93="","-",+C143+1)</f>
        <v>2054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4"/>
        <v>0</v>
      </c>
      <c r="G144" s="485">
        <f t="shared" si="45"/>
        <v>0</v>
      </c>
      <c r="H144" s="488">
        <f t="shared" si="42"/>
        <v>0</v>
      </c>
      <c r="I144" s="542">
        <f t="shared" si="43"/>
        <v>0</v>
      </c>
      <c r="J144" s="478">
        <f t="shared" si="46"/>
        <v>0</v>
      </c>
      <c r="K144" s="478"/>
      <c r="L144" s="487"/>
      <c r="M144" s="478">
        <f t="shared" si="47"/>
        <v>0</v>
      </c>
      <c r="N144" s="487"/>
      <c r="O144" s="478">
        <f t="shared" si="48"/>
        <v>0</v>
      </c>
      <c r="P144" s="478">
        <f t="shared" si="49"/>
        <v>0</v>
      </c>
    </row>
    <row r="145" spans="2:16">
      <c r="B145" s="160" t="str">
        <f t="shared" si="30"/>
        <v/>
      </c>
      <c r="C145" s="472">
        <f>IF(D93="","-",+C144+1)</f>
        <v>2055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4"/>
        <v>0</v>
      </c>
      <c r="G145" s="485">
        <f t="shared" si="45"/>
        <v>0</v>
      </c>
      <c r="H145" s="488">
        <f t="shared" si="42"/>
        <v>0</v>
      </c>
      <c r="I145" s="542">
        <f t="shared" si="43"/>
        <v>0</v>
      </c>
      <c r="J145" s="478">
        <f t="shared" si="46"/>
        <v>0</v>
      </c>
      <c r="K145" s="478"/>
      <c r="L145" s="487"/>
      <c r="M145" s="478">
        <f t="shared" si="47"/>
        <v>0</v>
      </c>
      <c r="N145" s="487"/>
      <c r="O145" s="478">
        <f t="shared" si="48"/>
        <v>0</v>
      </c>
      <c r="P145" s="478">
        <f t="shared" si="49"/>
        <v>0</v>
      </c>
    </row>
    <row r="146" spans="2:16">
      <c r="B146" s="160" t="str">
        <f t="shared" si="30"/>
        <v/>
      </c>
      <c r="C146" s="472">
        <f>IF(D93="","-",+C145+1)</f>
        <v>2056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4"/>
        <v>0</v>
      </c>
      <c r="G146" s="485">
        <f t="shared" si="45"/>
        <v>0</v>
      </c>
      <c r="H146" s="488">
        <f t="shared" si="42"/>
        <v>0</v>
      </c>
      <c r="I146" s="542">
        <f t="shared" si="43"/>
        <v>0</v>
      </c>
      <c r="J146" s="478">
        <f t="shared" si="46"/>
        <v>0</v>
      </c>
      <c r="K146" s="478"/>
      <c r="L146" s="487"/>
      <c r="M146" s="478">
        <f t="shared" si="47"/>
        <v>0</v>
      </c>
      <c r="N146" s="487"/>
      <c r="O146" s="478">
        <f t="shared" si="48"/>
        <v>0</v>
      </c>
      <c r="P146" s="478">
        <f t="shared" si="49"/>
        <v>0</v>
      </c>
    </row>
    <row r="147" spans="2:16">
      <c r="B147" s="160" t="str">
        <f t="shared" si="30"/>
        <v/>
      </c>
      <c r="C147" s="472">
        <f>IF(D93="","-",+C146+1)</f>
        <v>2057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4"/>
        <v>0</v>
      </c>
      <c r="G147" s="485">
        <f t="shared" si="45"/>
        <v>0</v>
      </c>
      <c r="H147" s="488">
        <f t="shared" si="42"/>
        <v>0</v>
      </c>
      <c r="I147" s="542">
        <f t="shared" si="43"/>
        <v>0</v>
      </c>
      <c r="J147" s="478">
        <f t="shared" si="46"/>
        <v>0</v>
      </c>
      <c r="K147" s="478"/>
      <c r="L147" s="487"/>
      <c r="M147" s="478">
        <f t="shared" si="47"/>
        <v>0</v>
      </c>
      <c r="N147" s="487"/>
      <c r="O147" s="478">
        <f t="shared" si="48"/>
        <v>0</v>
      </c>
      <c r="P147" s="478">
        <f t="shared" si="49"/>
        <v>0</v>
      </c>
    </row>
    <row r="148" spans="2:16">
      <c r="B148" s="160" t="str">
        <f t="shared" si="30"/>
        <v/>
      </c>
      <c r="C148" s="472">
        <f>IF(D93="","-",+C147+1)</f>
        <v>2058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4"/>
        <v>0</v>
      </c>
      <c r="G148" s="485">
        <f t="shared" si="45"/>
        <v>0</v>
      </c>
      <c r="H148" s="488">
        <f t="shared" si="42"/>
        <v>0</v>
      </c>
      <c r="I148" s="542">
        <f t="shared" si="43"/>
        <v>0</v>
      </c>
      <c r="J148" s="478">
        <f t="shared" si="46"/>
        <v>0</v>
      </c>
      <c r="K148" s="478"/>
      <c r="L148" s="487"/>
      <c r="M148" s="478">
        <f t="shared" si="47"/>
        <v>0</v>
      </c>
      <c r="N148" s="487"/>
      <c r="O148" s="478">
        <f t="shared" si="48"/>
        <v>0</v>
      </c>
      <c r="P148" s="478">
        <f t="shared" si="49"/>
        <v>0</v>
      </c>
    </row>
    <row r="149" spans="2:16">
      <c r="B149" s="160" t="str">
        <f t="shared" si="30"/>
        <v/>
      </c>
      <c r="C149" s="472">
        <f>IF(D93="","-",+C148+1)</f>
        <v>2059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4"/>
        <v>0</v>
      </c>
      <c r="G149" s="485">
        <f t="shared" si="45"/>
        <v>0</v>
      </c>
      <c r="H149" s="488">
        <f t="shared" si="42"/>
        <v>0</v>
      </c>
      <c r="I149" s="542">
        <f t="shared" si="43"/>
        <v>0</v>
      </c>
      <c r="J149" s="478">
        <f t="shared" si="46"/>
        <v>0</v>
      </c>
      <c r="K149" s="478"/>
      <c r="L149" s="487"/>
      <c r="M149" s="478">
        <f t="shared" si="47"/>
        <v>0</v>
      </c>
      <c r="N149" s="487"/>
      <c r="O149" s="478">
        <f t="shared" si="48"/>
        <v>0</v>
      </c>
      <c r="P149" s="478">
        <f t="shared" si="49"/>
        <v>0</v>
      </c>
    </row>
    <row r="150" spans="2:16">
      <c r="B150" s="160" t="str">
        <f t="shared" si="30"/>
        <v/>
      </c>
      <c r="C150" s="472">
        <f>IF(D93="","-",+C149+1)</f>
        <v>2060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4"/>
        <v>0</v>
      </c>
      <c r="G150" s="485">
        <f t="shared" si="45"/>
        <v>0</v>
      </c>
      <c r="H150" s="488">
        <f t="shared" si="42"/>
        <v>0</v>
      </c>
      <c r="I150" s="542">
        <f t="shared" si="43"/>
        <v>0</v>
      </c>
      <c r="J150" s="478">
        <f t="shared" si="46"/>
        <v>0</v>
      </c>
      <c r="K150" s="478"/>
      <c r="L150" s="487"/>
      <c r="M150" s="478">
        <f t="shared" si="47"/>
        <v>0</v>
      </c>
      <c r="N150" s="487"/>
      <c r="O150" s="478">
        <f t="shared" si="48"/>
        <v>0</v>
      </c>
      <c r="P150" s="478">
        <f t="shared" si="49"/>
        <v>0</v>
      </c>
    </row>
    <row r="151" spans="2:16">
      <c r="B151" s="160" t="str">
        <f t="shared" si="30"/>
        <v/>
      </c>
      <c r="C151" s="472">
        <f>IF(D93="","-",+C150+1)</f>
        <v>2061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4"/>
        <v>0</v>
      </c>
      <c r="G151" s="485">
        <f t="shared" si="45"/>
        <v>0</v>
      </c>
      <c r="H151" s="488">
        <f t="shared" si="42"/>
        <v>0</v>
      </c>
      <c r="I151" s="542">
        <f t="shared" si="43"/>
        <v>0</v>
      </c>
      <c r="J151" s="478">
        <f t="shared" si="46"/>
        <v>0</v>
      </c>
      <c r="K151" s="478"/>
      <c r="L151" s="487"/>
      <c r="M151" s="478">
        <f t="shared" si="47"/>
        <v>0</v>
      </c>
      <c r="N151" s="487"/>
      <c r="O151" s="478">
        <f t="shared" si="48"/>
        <v>0</v>
      </c>
      <c r="P151" s="478">
        <f t="shared" si="49"/>
        <v>0</v>
      </c>
    </row>
    <row r="152" spans="2:16">
      <c r="B152" s="160" t="str">
        <f t="shared" si="30"/>
        <v/>
      </c>
      <c r="C152" s="472">
        <f>IF(D93="","-",+C151+1)</f>
        <v>2062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4"/>
        <v>0</v>
      </c>
      <c r="G152" s="485">
        <f t="shared" si="45"/>
        <v>0</v>
      </c>
      <c r="H152" s="488">
        <f t="shared" si="42"/>
        <v>0</v>
      </c>
      <c r="I152" s="542">
        <f t="shared" si="43"/>
        <v>0</v>
      </c>
      <c r="J152" s="478">
        <f t="shared" si="46"/>
        <v>0</v>
      </c>
      <c r="K152" s="478"/>
      <c r="L152" s="487"/>
      <c r="M152" s="478">
        <f t="shared" si="47"/>
        <v>0</v>
      </c>
      <c r="N152" s="487"/>
      <c r="O152" s="478">
        <f t="shared" si="48"/>
        <v>0</v>
      </c>
      <c r="P152" s="478">
        <f t="shared" si="49"/>
        <v>0</v>
      </c>
    </row>
    <row r="153" spans="2:16">
      <c r="B153" s="160" t="str">
        <f t="shared" si="30"/>
        <v/>
      </c>
      <c r="C153" s="472">
        <f>IF(D93="","-",+C152+1)</f>
        <v>2063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4"/>
        <v>0</v>
      </c>
      <c r="G153" s="485">
        <f t="shared" si="45"/>
        <v>0</v>
      </c>
      <c r="H153" s="488">
        <f t="shared" si="42"/>
        <v>0</v>
      </c>
      <c r="I153" s="542">
        <f t="shared" si="43"/>
        <v>0</v>
      </c>
      <c r="J153" s="478">
        <f t="shared" si="46"/>
        <v>0</v>
      </c>
      <c r="K153" s="478"/>
      <c r="L153" s="487"/>
      <c r="M153" s="478">
        <f t="shared" si="47"/>
        <v>0</v>
      </c>
      <c r="N153" s="487"/>
      <c r="O153" s="478">
        <f t="shared" si="48"/>
        <v>0</v>
      </c>
      <c r="P153" s="478">
        <f t="shared" si="49"/>
        <v>0</v>
      </c>
    </row>
    <row r="154" spans="2:16" ht="13.5" thickBot="1">
      <c r="B154" s="160" t="str">
        <f t="shared" si="30"/>
        <v/>
      </c>
      <c r="C154" s="489">
        <f>IF(D93="","-",+C153+1)</f>
        <v>2064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4"/>
        <v>0</v>
      </c>
      <c r="G154" s="490">
        <f t="shared" si="45"/>
        <v>0</v>
      </c>
      <c r="H154" s="492">
        <f t="shared" si="42"/>
        <v>0</v>
      </c>
      <c r="I154" s="545">
        <f t="shared" si="43"/>
        <v>0</v>
      </c>
      <c r="J154" s="495">
        <f t="shared" si="46"/>
        <v>0</v>
      </c>
      <c r="K154" s="478"/>
      <c r="L154" s="494"/>
      <c r="M154" s="495">
        <f t="shared" si="47"/>
        <v>0</v>
      </c>
      <c r="N154" s="494"/>
      <c r="O154" s="495">
        <f t="shared" si="48"/>
        <v>0</v>
      </c>
      <c r="P154" s="495">
        <f t="shared" si="49"/>
        <v>0</v>
      </c>
    </row>
    <row r="155" spans="2:16">
      <c r="C155" s="346" t="s">
        <v>77</v>
      </c>
      <c r="D155" s="347"/>
      <c r="E155" s="347">
        <f>SUM(E99:E154)</f>
        <v>11456065</v>
      </c>
      <c r="F155" s="347"/>
      <c r="G155" s="347"/>
      <c r="H155" s="347">
        <f>SUM(H99:H154)</f>
        <v>42362571.867901333</v>
      </c>
      <c r="I155" s="347">
        <f>SUM(I99:I154)</f>
        <v>42362571.867901333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2" priority="1" stopIfTrue="1" operator="equal">
      <formula>$I$10</formula>
    </cfRule>
  </conditionalFormatting>
  <conditionalFormatting sqref="C99:C154">
    <cfRule type="cellIs" dxfId="61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2"/>
  <dimension ref="A1:P162"/>
  <sheetViews>
    <sheetView view="pageBreakPreview" zoomScale="75" zoomScaleNormal="100" zoomScaleSheetLayoutView="50" workbookViewId="0">
      <selection activeCell="F23" sqref="F23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4 of 31</v>
      </c>
    </row>
    <row r="2" spans="1:16" ht="20.25">
      <c r="A2" s="555"/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 t="str">
        <f>"For Calendar Year "&amp;V1-1&amp;" and Projected Year "&amp;V1</f>
        <v xml:space="preserve">For Calendar Year -1 and Projected Year </v>
      </c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 t="s">
        <v>251</v>
      </c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VLOOKUP(I10,C17:I72,5)-O5</f>
        <v>1445071.5333333332</v>
      </c>
      <c r="O5" s="556">
        <f>1307.4*12</f>
        <v>15688.800000000001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VLOOKUP(I10,C17:I72,6)-O5</f>
        <v>1445071.5333333332</v>
      </c>
      <c r="O6" s="232"/>
      <c r="P6" s="232"/>
    </row>
    <row r="7" spans="1:16" ht="13.5" thickBot="1">
      <c r="C7" s="431" t="s">
        <v>46</v>
      </c>
      <c r="D7" s="432" t="s">
        <v>207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82</v>
      </c>
      <c r="E9" s="577" t="s">
        <v>351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14615636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7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347991.33333333331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557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2008</v>
      </c>
      <c r="D17" s="558">
        <v>2264444</v>
      </c>
      <c r="E17" s="474">
        <v>21774</v>
      </c>
      <c r="F17" s="473">
        <v>2242670</v>
      </c>
      <c r="G17" s="474">
        <v>215833</v>
      </c>
      <c r="H17" s="474">
        <v>215833</v>
      </c>
      <c r="I17" s="475">
        <f t="shared" ref="I17:I48" si="0">H17-G17</f>
        <v>0</v>
      </c>
      <c r="J17" s="348"/>
      <c r="K17" s="476">
        <v>215833</v>
      </c>
      <c r="L17" s="559">
        <f t="shared" ref="L17:L48" si="1">IF(K17&lt;&gt;0,+G17-K17,0)</f>
        <v>0</v>
      </c>
      <c r="M17" s="554">
        <v>215833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>IU</v>
      </c>
      <c r="C18" s="472">
        <f>IF(D11="","-",+C17+1)</f>
        <v>2009</v>
      </c>
      <c r="D18" s="473">
        <v>14429811</v>
      </c>
      <c r="E18" s="480">
        <v>274418</v>
      </c>
      <c r="F18" s="473">
        <v>14155393</v>
      </c>
      <c r="G18" s="480">
        <v>2443110</v>
      </c>
      <c r="H18" s="480">
        <v>2443110</v>
      </c>
      <c r="I18" s="475">
        <f t="shared" si="0"/>
        <v>0</v>
      </c>
      <c r="J18" s="475"/>
      <c r="K18" s="476">
        <v>2443110</v>
      </c>
      <c r="L18" s="478">
        <f t="shared" si="1"/>
        <v>0</v>
      </c>
      <c r="M18" s="476">
        <v>2443110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2010</v>
      </c>
      <c r="D19" s="479">
        <v>14390719</v>
      </c>
      <c r="E19" s="480">
        <v>262266.26785714284</v>
      </c>
      <c r="F19" s="479">
        <v>14128452.732142856</v>
      </c>
      <c r="G19" s="480">
        <v>2300952.2678571427</v>
      </c>
      <c r="H19" s="481">
        <v>2300952.2678571427</v>
      </c>
      <c r="I19" s="475">
        <f t="shared" si="0"/>
        <v>0</v>
      </c>
      <c r="J19" s="475"/>
      <c r="K19" s="476">
        <f t="shared" ref="K19:K24" si="4">G19</f>
        <v>2300952.2678571427</v>
      </c>
      <c r="L19" s="550">
        <f t="shared" si="1"/>
        <v>0</v>
      </c>
      <c r="M19" s="476">
        <f t="shared" ref="M19:M24" si="5">H19</f>
        <v>2300952.2678571427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6">IF(D20=F19,"","IU")</f>
        <v>IU</v>
      </c>
      <c r="C20" s="472">
        <f>IF(D11="","-",+C19+1)</f>
        <v>2011</v>
      </c>
      <c r="D20" s="479">
        <v>14057177.732142856</v>
      </c>
      <c r="E20" s="480">
        <v>286581.09803921566</v>
      </c>
      <c r="F20" s="479">
        <v>13770596.634103641</v>
      </c>
      <c r="G20" s="480">
        <v>2442276.0980392154</v>
      </c>
      <c r="H20" s="481">
        <v>2442276.0980392154</v>
      </c>
      <c r="I20" s="475">
        <f t="shared" si="0"/>
        <v>0</v>
      </c>
      <c r="J20" s="475"/>
      <c r="K20" s="476">
        <f t="shared" si="4"/>
        <v>2442276.0980392154</v>
      </c>
      <c r="L20" s="550">
        <f t="shared" si="1"/>
        <v>0</v>
      </c>
      <c r="M20" s="476">
        <f t="shared" si="5"/>
        <v>2442276.0980392154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6"/>
        <v/>
      </c>
      <c r="C21" s="472">
        <f>IF(D12="","-",+C20+1)</f>
        <v>2012</v>
      </c>
      <c r="D21" s="479">
        <v>13770596.634103641</v>
      </c>
      <c r="E21" s="480">
        <v>281069.92307692306</v>
      </c>
      <c r="F21" s="479">
        <v>13489526.711026717</v>
      </c>
      <c r="G21" s="480">
        <v>2158902.923076923</v>
      </c>
      <c r="H21" s="481">
        <v>2158902.923076923</v>
      </c>
      <c r="I21" s="475">
        <f t="shared" si="0"/>
        <v>0</v>
      </c>
      <c r="J21" s="475"/>
      <c r="K21" s="476">
        <f t="shared" si="4"/>
        <v>2158902.923076923</v>
      </c>
      <c r="L21" s="550">
        <f t="shared" si="1"/>
        <v>0</v>
      </c>
      <c r="M21" s="476">
        <f t="shared" si="5"/>
        <v>2158902.923076923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6"/>
        <v/>
      </c>
      <c r="C22" s="472">
        <f>IF(D11="","-",+C21+1)</f>
        <v>2013</v>
      </c>
      <c r="D22" s="479">
        <v>13489526.711026717</v>
      </c>
      <c r="E22" s="480">
        <v>281069.92307692306</v>
      </c>
      <c r="F22" s="479">
        <v>13208456.787949793</v>
      </c>
      <c r="G22" s="480">
        <v>2167326.923076923</v>
      </c>
      <c r="H22" s="481">
        <v>2167326.923076923</v>
      </c>
      <c r="I22" s="475">
        <v>0</v>
      </c>
      <c r="J22" s="475"/>
      <c r="K22" s="476">
        <f t="shared" si="4"/>
        <v>2167326.923076923</v>
      </c>
      <c r="L22" s="550">
        <f t="shared" ref="L22:L27" si="7">IF(K22&lt;&gt;0,+G22-K22,0)</f>
        <v>0</v>
      </c>
      <c r="M22" s="476">
        <f t="shared" si="5"/>
        <v>2167326.923076923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>
      <c r="B23" s="160" t="str">
        <f t="shared" si="6"/>
        <v/>
      </c>
      <c r="C23" s="472">
        <f>IF(D11="","-",+C22+1)</f>
        <v>2014</v>
      </c>
      <c r="D23" s="479">
        <v>13208456.787949793</v>
      </c>
      <c r="E23" s="480">
        <v>281069.92307692306</v>
      </c>
      <c r="F23" s="479">
        <v>12927386.864872869</v>
      </c>
      <c r="G23" s="480">
        <v>2060637.923076923</v>
      </c>
      <c r="H23" s="481">
        <v>2060637.923076923</v>
      </c>
      <c r="I23" s="475">
        <v>0</v>
      </c>
      <c r="J23" s="475"/>
      <c r="K23" s="476">
        <f t="shared" si="4"/>
        <v>2060637.923076923</v>
      </c>
      <c r="L23" s="550">
        <f t="shared" si="7"/>
        <v>0</v>
      </c>
      <c r="M23" s="476">
        <f t="shared" si="5"/>
        <v>2060637.923076923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2015</v>
      </c>
      <c r="D24" s="479">
        <v>12927386.864872869</v>
      </c>
      <c r="E24" s="480">
        <v>281069.92307692306</v>
      </c>
      <c r="F24" s="479">
        <v>12646316.941795945</v>
      </c>
      <c r="G24" s="480">
        <v>2024638.923076923</v>
      </c>
      <c r="H24" s="481">
        <v>2024638.923076923</v>
      </c>
      <c r="I24" s="475">
        <v>0</v>
      </c>
      <c r="J24" s="475"/>
      <c r="K24" s="476">
        <f t="shared" si="4"/>
        <v>2024638.923076923</v>
      </c>
      <c r="L24" s="550">
        <f t="shared" si="7"/>
        <v>0</v>
      </c>
      <c r="M24" s="476">
        <f t="shared" si="5"/>
        <v>2024638.923076923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2016</v>
      </c>
      <c r="D25" s="479">
        <v>12646316.941795945</v>
      </c>
      <c r="E25" s="480">
        <v>281069.92307692306</v>
      </c>
      <c r="F25" s="479">
        <v>12365247.018719021</v>
      </c>
      <c r="G25" s="480">
        <v>1902890.923076923</v>
      </c>
      <c r="H25" s="481">
        <v>1902890.923076923</v>
      </c>
      <c r="I25" s="475">
        <f t="shared" si="0"/>
        <v>0</v>
      </c>
      <c r="J25" s="475"/>
      <c r="K25" s="476">
        <f t="shared" ref="K25:K30" si="10">G25</f>
        <v>1902890.923076923</v>
      </c>
      <c r="L25" s="550">
        <f t="shared" si="7"/>
        <v>0</v>
      </c>
      <c r="M25" s="476">
        <f t="shared" ref="M25:M30" si="11">H25</f>
        <v>1902890.923076923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2017</v>
      </c>
      <c r="D26" s="479">
        <v>12365247.018719021</v>
      </c>
      <c r="E26" s="480">
        <v>317731.21739130432</v>
      </c>
      <c r="F26" s="479">
        <v>12047515.801327717</v>
      </c>
      <c r="G26" s="480">
        <v>1850906.2173913042</v>
      </c>
      <c r="H26" s="481">
        <v>1850906.2173913042</v>
      </c>
      <c r="I26" s="475">
        <f t="shared" si="0"/>
        <v>0</v>
      </c>
      <c r="J26" s="475"/>
      <c r="K26" s="476">
        <f t="shared" si="10"/>
        <v>1850906.2173913042</v>
      </c>
      <c r="L26" s="550">
        <f t="shared" si="7"/>
        <v>0</v>
      </c>
      <c r="M26" s="476">
        <f t="shared" si="11"/>
        <v>1850906.2173913042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2018</v>
      </c>
      <c r="D27" s="479">
        <v>12047515.801327717</v>
      </c>
      <c r="E27" s="480">
        <v>324791.91111111111</v>
      </c>
      <c r="F27" s="479">
        <v>11722723.890216606</v>
      </c>
      <c r="G27" s="480">
        <v>1748141.2740256879</v>
      </c>
      <c r="H27" s="481">
        <v>1748141.2740256879</v>
      </c>
      <c r="I27" s="475">
        <f t="shared" si="0"/>
        <v>0</v>
      </c>
      <c r="J27" s="475"/>
      <c r="K27" s="476">
        <f t="shared" si="10"/>
        <v>1748141.2740256879</v>
      </c>
      <c r="L27" s="550">
        <f t="shared" si="7"/>
        <v>0</v>
      </c>
      <c r="M27" s="476">
        <f t="shared" si="11"/>
        <v>1748141.2740256879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6"/>
        <v/>
      </c>
      <c r="C28" s="472">
        <f>IF(D11="","-",+C27+1)</f>
        <v>2019</v>
      </c>
      <c r="D28" s="479">
        <v>11722723.890216606</v>
      </c>
      <c r="E28" s="480">
        <v>365390.9</v>
      </c>
      <c r="F28" s="479">
        <v>11357332.990216605</v>
      </c>
      <c r="G28" s="480">
        <v>1653911.6007125233</v>
      </c>
      <c r="H28" s="481">
        <v>1653911.6007125233</v>
      </c>
      <c r="I28" s="475">
        <f t="shared" si="0"/>
        <v>0</v>
      </c>
      <c r="J28" s="475"/>
      <c r="K28" s="476">
        <f t="shared" si="10"/>
        <v>1653911.6007125233</v>
      </c>
      <c r="L28" s="550">
        <f t="shared" ref="L28" si="12">IF(K28&lt;&gt;0,+G28-K28,0)</f>
        <v>0</v>
      </c>
      <c r="M28" s="476">
        <f t="shared" si="11"/>
        <v>1653911.6007125233</v>
      </c>
      <c r="N28" s="478">
        <f t="shared" ref="N28" si="13">IF(M28&lt;&gt;0,+H28-M28,0)</f>
        <v>0</v>
      </c>
      <c r="O28" s="478">
        <f t="shared" ref="O28" si="14">+N28-L28</f>
        <v>0</v>
      </c>
      <c r="P28" s="242"/>
    </row>
    <row r="29" spans="2:16">
      <c r="B29" s="160" t="str">
        <f t="shared" si="6"/>
        <v>IU</v>
      </c>
      <c r="C29" s="472">
        <f>IF(D11="","-",+C28+1)</f>
        <v>2020</v>
      </c>
      <c r="D29" s="479">
        <v>11397931.979105495</v>
      </c>
      <c r="E29" s="480">
        <v>347991.33333333331</v>
      </c>
      <c r="F29" s="479">
        <v>11049940.645772161</v>
      </c>
      <c r="G29" s="480">
        <v>1560230.0708098114</v>
      </c>
      <c r="H29" s="481">
        <v>1560230.0708098114</v>
      </c>
      <c r="I29" s="475">
        <f t="shared" si="0"/>
        <v>0</v>
      </c>
      <c r="J29" s="475"/>
      <c r="K29" s="476">
        <f t="shared" si="10"/>
        <v>1560230.0708098114</v>
      </c>
      <c r="L29" s="550">
        <f t="shared" ref="L29" si="15">IF(K29&lt;&gt;0,+G29-K29,0)</f>
        <v>0</v>
      </c>
      <c r="M29" s="476">
        <f t="shared" si="11"/>
        <v>1560230.0708098114</v>
      </c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6"/>
        <v>IU</v>
      </c>
      <c r="C30" s="472">
        <f>IF(D11="","-",+C29+1)</f>
        <v>2021</v>
      </c>
      <c r="D30" s="479">
        <v>11009341.656883277</v>
      </c>
      <c r="E30" s="480">
        <v>339898.51162790699</v>
      </c>
      <c r="F30" s="479">
        <v>10669443.14525537</v>
      </c>
      <c r="G30" s="480">
        <v>1490295.5116279069</v>
      </c>
      <c r="H30" s="481">
        <v>1490295.5116279069</v>
      </c>
      <c r="I30" s="475">
        <f t="shared" si="0"/>
        <v>0</v>
      </c>
      <c r="J30" s="475"/>
      <c r="K30" s="476">
        <f t="shared" si="10"/>
        <v>1490295.5116279069</v>
      </c>
      <c r="L30" s="550">
        <f t="shared" ref="L30" si="16">IF(K30&lt;&gt;0,+G30-K30,0)</f>
        <v>0</v>
      </c>
      <c r="M30" s="476">
        <f t="shared" si="11"/>
        <v>1490295.5116279069</v>
      </c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6"/>
        <v/>
      </c>
      <c r="C31" s="472">
        <f>IF(D11="","-",+C30+1)</f>
        <v>2022</v>
      </c>
      <c r="D31" s="485">
        <f>IF(F30+SUM(E$17:E30)=D$10,F30,D$10-SUM(E$17:E30))</f>
        <v>10669443.14525537</v>
      </c>
      <c r="E31" s="484">
        <f>IF(+I14&lt;F30,I14,D31)</f>
        <v>347991.33333333331</v>
      </c>
      <c r="F31" s="485">
        <f t="shared" ref="F31:F72" si="17">+D31-E31</f>
        <v>10321451.811922036</v>
      </c>
      <c r="G31" s="486">
        <f t="shared" ref="G31:G72" si="18">ROUND(I$12*F31,0)+E31</f>
        <v>1460760.3333333333</v>
      </c>
      <c r="H31" s="455">
        <f t="shared" ref="H31:H72" si="19">ROUND(I$13*F31,0)+E31</f>
        <v>1460760.3333333333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10321451.811922036</v>
      </c>
      <c r="E32" s="484">
        <f>IF(+I14&lt;F31,I14,D32)</f>
        <v>347991.33333333331</v>
      </c>
      <c r="F32" s="485">
        <f t="shared" si="17"/>
        <v>9973460.4785887022</v>
      </c>
      <c r="G32" s="486">
        <f t="shared" si="18"/>
        <v>1423242.3333333333</v>
      </c>
      <c r="H32" s="455">
        <f t="shared" si="19"/>
        <v>1423242.3333333333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9973460.4785887022</v>
      </c>
      <c r="E33" s="484">
        <f>IF(+I14&lt;F32,I14,D33)</f>
        <v>347991.33333333331</v>
      </c>
      <c r="F33" s="485">
        <f t="shared" si="17"/>
        <v>9625469.1452553682</v>
      </c>
      <c r="G33" s="486">
        <f t="shared" si="18"/>
        <v>1385725.3333333333</v>
      </c>
      <c r="H33" s="455">
        <f t="shared" si="19"/>
        <v>1385725.3333333333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9625469.1452553682</v>
      </c>
      <c r="E34" s="484">
        <f>IF(+I14&lt;F33,I14,D34)</f>
        <v>347991.33333333331</v>
      </c>
      <c r="F34" s="485">
        <f t="shared" si="17"/>
        <v>9277477.8119220342</v>
      </c>
      <c r="G34" s="486">
        <f t="shared" si="18"/>
        <v>1348207.3333333333</v>
      </c>
      <c r="H34" s="455">
        <f t="shared" si="19"/>
        <v>1348207.3333333333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9277477.8119220342</v>
      </c>
      <c r="E35" s="484">
        <f>IF(+I14&lt;F34,I14,D35)</f>
        <v>347991.33333333331</v>
      </c>
      <c r="F35" s="485">
        <f t="shared" si="17"/>
        <v>8929486.4785887003</v>
      </c>
      <c r="G35" s="486">
        <f t="shared" si="18"/>
        <v>1310690.3333333333</v>
      </c>
      <c r="H35" s="455">
        <f t="shared" si="19"/>
        <v>1310690.3333333333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8929486.4785887003</v>
      </c>
      <c r="E36" s="484">
        <f>IF(+I14&lt;F35,I14,D36)</f>
        <v>347991.33333333331</v>
      </c>
      <c r="F36" s="485">
        <f t="shared" si="17"/>
        <v>8581495.1452553663</v>
      </c>
      <c r="G36" s="486">
        <f t="shared" si="18"/>
        <v>1273173.3333333333</v>
      </c>
      <c r="H36" s="455">
        <f t="shared" si="19"/>
        <v>1273173.3333333333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8581495.1452553663</v>
      </c>
      <c r="E37" s="484">
        <f>IF(+I14&lt;F36,I14,D37)</f>
        <v>347991.33333333331</v>
      </c>
      <c r="F37" s="485">
        <f t="shared" si="17"/>
        <v>8233503.8119220333</v>
      </c>
      <c r="G37" s="486">
        <f t="shared" si="18"/>
        <v>1235655.3333333333</v>
      </c>
      <c r="H37" s="455">
        <f t="shared" si="19"/>
        <v>1235655.3333333333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8233503.8119220333</v>
      </c>
      <c r="E38" s="484">
        <f>IF(+I14&lt;F37,I14,D38)</f>
        <v>347991.33333333331</v>
      </c>
      <c r="F38" s="485">
        <f t="shared" si="17"/>
        <v>7885512.4785887003</v>
      </c>
      <c r="G38" s="486">
        <f t="shared" si="18"/>
        <v>1198138.3333333333</v>
      </c>
      <c r="H38" s="455">
        <f t="shared" si="19"/>
        <v>1198138.3333333333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7885512.4785887003</v>
      </c>
      <c r="E39" s="484">
        <f>IF(+I14&lt;F38,I14,D39)</f>
        <v>347991.33333333331</v>
      </c>
      <c r="F39" s="485">
        <f t="shared" si="17"/>
        <v>7537521.1452553673</v>
      </c>
      <c r="G39" s="486">
        <f t="shared" si="18"/>
        <v>1160621.3333333333</v>
      </c>
      <c r="H39" s="455">
        <f t="shared" si="19"/>
        <v>1160621.3333333333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7537521.1452553673</v>
      </c>
      <c r="E40" s="484">
        <f>IF(+I14&lt;F39,I14,D40)</f>
        <v>347991.33333333331</v>
      </c>
      <c r="F40" s="485">
        <f t="shared" si="17"/>
        <v>7189529.8119220342</v>
      </c>
      <c r="G40" s="486">
        <f t="shared" si="18"/>
        <v>1123103.3333333333</v>
      </c>
      <c r="H40" s="455">
        <f t="shared" si="19"/>
        <v>1123103.3333333333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7189529.8119220342</v>
      </c>
      <c r="E41" s="484">
        <f>IF(+I14&lt;F40,I14,D41)</f>
        <v>347991.33333333331</v>
      </c>
      <c r="F41" s="485">
        <f t="shared" si="17"/>
        <v>6841538.4785887012</v>
      </c>
      <c r="G41" s="486">
        <f t="shared" si="18"/>
        <v>1085586.3333333333</v>
      </c>
      <c r="H41" s="455">
        <f t="shared" si="19"/>
        <v>1085586.3333333333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6841538.4785887012</v>
      </c>
      <c r="E42" s="484">
        <f>IF(+I14&lt;F41,I14,D42)</f>
        <v>347991.33333333331</v>
      </c>
      <c r="F42" s="485">
        <f t="shared" si="17"/>
        <v>6493547.1452553682</v>
      </c>
      <c r="G42" s="486">
        <f t="shared" si="18"/>
        <v>1048068.3333333333</v>
      </c>
      <c r="H42" s="455">
        <f t="shared" si="19"/>
        <v>1048068.3333333333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6493547.1452553682</v>
      </c>
      <c r="E43" s="484">
        <f>IF(+I14&lt;F42,I14,D43)</f>
        <v>347991.33333333331</v>
      </c>
      <c r="F43" s="485">
        <f t="shared" si="17"/>
        <v>6145555.8119220352</v>
      </c>
      <c r="G43" s="486">
        <f t="shared" si="18"/>
        <v>1010551.3333333333</v>
      </c>
      <c r="H43" s="455">
        <f t="shared" si="19"/>
        <v>1010551.3333333333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6145555.8119220352</v>
      </c>
      <c r="E44" s="484">
        <f>IF(+I14&lt;F43,I14,D44)</f>
        <v>347991.33333333331</v>
      </c>
      <c r="F44" s="485">
        <f t="shared" si="17"/>
        <v>5797564.4785887022</v>
      </c>
      <c r="G44" s="486">
        <f t="shared" si="18"/>
        <v>973034.33333333326</v>
      </c>
      <c r="H44" s="455">
        <f t="shared" si="19"/>
        <v>973034.33333333326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5797564.4785887022</v>
      </c>
      <c r="E45" s="484">
        <f>IF(+I14&lt;F44,I14,D45)</f>
        <v>347991.33333333331</v>
      </c>
      <c r="F45" s="485">
        <f t="shared" si="17"/>
        <v>5449573.1452553691</v>
      </c>
      <c r="G45" s="486">
        <f t="shared" si="18"/>
        <v>935516.33333333326</v>
      </c>
      <c r="H45" s="455">
        <f t="shared" si="19"/>
        <v>935516.33333333326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5449573.1452553691</v>
      </c>
      <c r="E46" s="484">
        <f>IF(+I14&lt;F45,I14,D46)</f>
        <v>347991.33333333331</v>
      </c>
      <c r="F46" s="485">
        <f t="shared" si="17"/>
        <v>5101581.8119220361</v>
      </c>
      <c r="G46" s="486">
        <f t="shared" si="18"/>
        <v>897999.33333333326</v>
      </c>
      <c r="H46" s="455">
        <f t="shared" si="19"/>
        <v>897999.33333333326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5101581.8119220361</v>
      </c>
      <c r="E47" s="484">
        <f>IF(+I14&lt;F46,I14,D47)</f>
        <v>347991.33333333331</v>
      </c>
      <c r="F47" s="485">
        <f t="shared" si="17"/>
        <v>4753590.4785887031</v>
      </c>
      <c r="G47" s="486">
        <f t="shared" si="18"/>
        <v>860482.33333333326</v>
      </c>
      <c r="H47" s="455">
        <f t="shared" si="19"/>
        <v>860482.33333333326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4753590.4785887031</v>
      </c>
      <c r="E48" s="484">
        <f>IF(+I14&lt;F47,I14,D48)</f>
        <v>347991.33333333331</v>
      </c>
      <c r="F48" s="485">
        <f t="shared" si="17"/>
        <v>4405599.1452553701</v>
      </c>
      <c r="G48" s="486">
        <f t="shared" si="18"/>
        <v>822964.33333333326</v>
      </c>
      <c r="H48" s="455">
        <f t="shared" si="19"/>
        <v>822964.33333333326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4405599.1452553701</v>
      </c>
      <c r="E49" s="484">
        <f>IF(+I14&lt;F48,I14,D49)</f>
        <v>347991.33333333331</v>
      </c>
      <c r="F49" s="485">
        <f t="shared" si="17"/>
        <v>4057607.8119220366</v>
      </c>
      <c r="G49" s="486">
        <f t="shared" si="18"/>
        <v>785447.33333333326</v>
      </c>
      <c r="H49" s="455">
        <f t="shared" si="19"/>
        <v>785447.33333333326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2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4057607.8119220366</v>
      </c>
      <c r="E50" s="484">
        <f>IF(+I14&lt;F49,I14,D50)</f>
        <v>347991.33333333331</v>
      </c>
      <c r="F50" s="485">
        <f t="shared" si="17"/>
        <v>3709616.4785887031</v>
      </c>
      <c r="G50" s="486">
        <f t="shared" si="18"/>
        <v>747929.33333333326</v>
      </c>
      <c r="H50" s="455">
        <f t="shared" si="19"/>
        <v>747929.33333333326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3709616.4785887031</v>
      </c>
      <c r="E51" s="484">
        <f>IF(+I14&lt;F50,I14,D51)</f>
        <v>347991.33333333331</v>
      </c>
      <c r="F51" s="485">
        <f t="shared" si="17"/>
        <v>3361625.1452553696</v>
      </c>
      <c r="G51" s="486">
        <f t="shared" si="18"/>
        <v>710412.33333333326</v>
      </c>
      <c r="H51" s="455">
        <f t="shared" si="19"/>
        <v>710412.33333333326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3361625.1452553696</v>
      </c>
      <c r="E52" s="484">
        <f>IF(+I14&lt;F51,I14,D52)</f>
        <v>347991.33333333331</v>
      </c>
      <c r="F52" s="485">
        <f t="shared" si="17"/>
        <v>3013633.8119220361</v>
      </c>
      <c r="G52" s="486">
        <f t="shared" si="18"/>
        <v>672895.33333333326</v>
      </c>
      <c r="H52" s="455">
        <f t="shared" si="19"/>
        <v>672895.33333333326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3013633.8119220361</v>
      </c>
      <c r="E53" s="484">
        <f>IF(+I14&lt;F52,I14,D53)</f>
        <v>347991.33333333331</v>
      </c>
      <c r="F53" s="485">
        <f t="shared" si="17"/>
        <v>2665642.4785887026</v>
      </c>
      <c r="G53" s="486">
        <f t="shared" si="18"/>
        <v>635377.33333333326</v>
      </c>
      <c r="H53" s="455">
        <f t="shared" si="19"/>
        <v>635377.33333333326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2665642.4785887026</v>
      </c>
      <c r="E54" s="484">
        <f>IF(+I14&lt;F53,I14,D54)</f>
        <v>347991.33333333331</v>
      </c>
      <c r="F54" s="485">
        <f t="shared" si="17"/>
        <v>2317651.1452553691</v>
      </c>
      <c r="G54" s="486">
        <f t="shared" si="18"/>
        <v>597860.33333333326</v>
      </c>
      <c r="H54" s="455">
        <f t="shared" si="19"/>
        <v>597860.33333333326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2317651.1452553691</v>
      </c>
      <c r="E55" s="484">
        <f>IF(+I14&lt;F54,I14,D55)</f>
        <v>347991.33333333331</v>
      </c>
      <c r="F55" s="485">
        <f t="shared" si="17"/>
        <v>1969659.8119220359</v>
      </c>
      <c r="G55" s="486">
        <f t="shared" si="18"/>
        <v>560342.33333333326</v>
      </c>
      <c r="H55" s="455">
        <f t="shared" si="19"/>
        <v>560342.33333333326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1969659.8119220359</v>
      </c>
      <c r="E56" s="484">
        <f>IF(+I14&lt;F55,I14,D56)</f>
        <v>347991.33333333331</v>
      </c>
      <c r="F56" s="485">
        <f t="shared" si="17"/>
        <v>1621668.4785887026</v>
      </c>
      <c r="G56" s="486">
        <f t="shared" si="18"/>
        <v>522825.33333333331</v>
      </c>
      <c r="H56" s="455">
        <f t="shared" si="19"/>
        <v>522825.33333333331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1621668.4785887026</v>
      </c>
      <c r="E57" s="484">
        <f>IF(+I14&lt;F56,I14,D57)</f>
        <v>347991.33333333331</v>
      </c>
      <c r="F57" s="485">
        <f t="shared" si="17"/>
        <v>1273677.1452553694</v>
      </c>
      <c r="G57" s="486">
        <f t="shared" si="18"/>
        <v>485308.33333333331</v>
      </c>
      <c r="H57" s="455">
        <f t="shared" si="19"/>
        <v>485308.33333333331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1273677.1452553694</v>
      </c>
      <c r="E58" s="484">
        <f>IF(+I14&lt;F57,I14,D58)</f>
        <v>347991.33333333331</v>
      </c>
      <c r="F58" s="485">
        <f t="shared" si="17"/>
        <v>925685.81192203611</v>
      </c>
      <c r="G58" s="486">
        <f t="shared" si="18"/>
        <v>447790.33333333331</v>
      </c>
      <c r="H58" s="455">
        <f t="shared" si="19"/>
        <v>447790.33333333331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925685.81192203611</v>
      </c>
      <c r="E59" s="484">
        <f>IF(+I14&lt;F58,I14,D59)</f>
        <v>347991.33333333331</v>
      </c>
      <c r="F59" s="485">
        <f t="shared" si="17"/>
        <v>577694.47858870286</v>
      </c>
      <c r="G59" s="486">
        <f t="shared" si="18"/>
        <v>410273.33333333331</v>
      </c>
      <c r="H59" s="455">
        <f t="shared" si="19"/>
        <v>410273.33333333331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577694.47858870286</v>
      </c>
      <c r="E60" s="484">
        <f>IF(+I14&lt;F59,I14,D60)</f>
        <v>347991.33333333331</v>
      </c>
      <c r="F60" s="485">
        <f t="shared" si="17"/>
        <v>229703.14525536954</v>
      </c>
      <c r="G60" s="486">
        <f t="shared" si="18"/>
        <v>372756.33333333331</v>
      </c>
      <c r="H60" s="455">
        <f t="shared" si="19"/>
        <v>372756.33333333331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229703.14525536954</v>
      </c>
      <c r="E61" s="484">
        <f>IF(+I14&lt;F60,I14,D61)</f>
        <v>229703.14525536954</v>
      </c>
      <c r="F61" s="485">
        <f t="shared" si="17"/>
        <v>0</v>
      </c>
      <c r="G61" s="488">
        <f t="shared" si="18"/>
        <v>229703.14525536954</v>
      </c>
      <c r="H61" s="455">
        <f t="shared" si="19"/>
        <v>229703.14525536954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8"/>
        <v>0</v>
      </c>
      <c r="H62" s="455">
        <f t="shared" si="19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8"/>
        <v>0</v>
      </c>
      <c r="H72" s="435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>
      <c r="C73" s="346" t="s">
        <v>77</v>
      </c>
      <c r="D73" s="347"/>
      <c r="E73" s="347">
        <f>SUM(E17:E72)</f>
        <v>14615636.000000007</v>
      </c>
      <c r="F73" s="347"/>
      <c r="G73" s="347">
        <f>SUM(G17:G72)</f>
        <v>53752494.801103629</v>
      </c>
      <c r="H73" s="347">
        <f>SUM(H17:H72)</f>
        <v>53752494.801103629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4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 t="str">
        <f>O4</f>
        <v>WFEC DA Adjustment</v>
      </c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IF(J92&lt;D11,0,VLOOKUP(J92,C17:O72,9))-P87</f>
        <v>1544541.2708098113</v>
      </c>
      <c r="N87" s="508">
        <f>IF(J92&lt;D11,0,VLOOKUP(J92,C17:O72,11))-P87</f>
        <v>1544541.2708098113</v>
      </c>
      <c r="O87" s="509">
        <f>+N87-M87</f>
        <v>0</v>
      </c>
      <c r="P87" s="342">
        <f>O5</f>
        <v>15688.800000000001</v>
      </c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IF(J92&lt;D11,0,VLOOKUP(J92,C99:P154,6))-P87</f>
        <v>1597710.8213131989</v>
      </c>
      <c r="N88" s="512">
        <f>IF(J92&lt;D11,0,VLOOKUP(J92,C99:P154,7))-P87</f>
        <v>1597710.8213131989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Cache-Snyder to Altus Jct. 138 kV line (w/2 ring bus stations)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53169.550503387582</v>
      </c>
      <c r="N89" s="517">
        <f>+N88-N87</f>
        <v>53169.550503387582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TP2004147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f>+D10</f>
        <v>14615636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7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347991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97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560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114341</v>
      </c>
      <c r="F99" s="479">
        <v>14429811</v>
      </c>
      <c r="G99" s="537">
        <f t="shared" ref="G99:G130" si="24">+(F99+D99)/2</f>
        <v>7214905.5</v>
      </c>
      <c r="H99" s="538">
        <v>1260396</v>
      </c>
      <c r="I99" s="539">
        <v>1260396</v>
      </c>
      <c r="J99" s="478">
        <f t="shared" ref="J99:J131" si="25">+I99-H99</f>
        <v>0</v>
      </c>
      <c r="K99" s="478"/>
      <c r="L99" s="554">
        <v>1260396</v>
      </c>
      <c r="M99" s="477">
        <f t="shared" ref="M99:M130" si="26">IF(L99&lt;&gt;0,+H99-L99,0)</f>
        <v>0</v>
      </c>
      <c r="N99" s="554">
        <f>+L99</f>
        <v>1260396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14569170</v>
      </c>
      <c r="E100" s="480">
        <v>262206</v>
      </c>
      <c r="F100" s="479">
        <v>14306964</v>
      </c>
      <c r="G100" s="479">
        <v>14438067</v>
      </c>
      <c r="H100" s="480">
        <v>2373171</v>
      </c>
      <c r="I100" s="481">
        <v>2373171</v>
      </c>
      <c r="J100" s="478">
        <f t="shared" si="25"/>
        <v>0</v>
      </c>
      <c r="K100" s="478"/>
      <c r="L100" s="476">
        <f t="shared" ref="L100:L105" si="29">H100</f>
        <v>2373171</v>
      </c>
      <c r="M100" s="478">
        <f t="shared" si="26"/>
        <v>0</v>
      </c>
      <c r="N100" s="476">
        <f t="shared" ref="N100:N105" si="30">I100</f>
        <v>2373171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31">IF(D101=F100,"","IU")</f>
        <v>IU</v>
      </c>
      <c r="C101" s="472">
        <f>IF(D93="","-",+C100+1)</f>
        <v>2010</v>
      </c>
      <c r="D101" s="473">
        <v>14239089</v>
      </c>
      <c r="E101" s="480">
        <v>286581</v>
      </c>
      <c r="F101" s="479">
        <v>13952508</v>
      </c>
      <c r="G101" s="479">
        <v>14095798.5</v>
      </c>
      <c r="H101" s="480">
        <v>2553400</v>
      </c>
      <c r="I101" s="481">
        <v>2553400</v>
      </c>
      <c r="J101" s="478">
        <f t="shared" si="25"/>
        <v>0</v>
      </c>
      <c r="K101" s="478"/>
      <c r="L101" s="540">
        <f t="shared" si="29"/>
        <v>2553400</v>
      </c>
      <c r="M101" s="541">
        <f t="shared" si="26"/>
        <v>0</v>
      </c>
      <c r="N101" s="540">
        <f t="shared" si="30"/>
        <v>2553400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31"/>
        <v/>
      </c>
      <c r="C102" s="472">
        <f>IF(D93="","-",+C101+1)</f>
        <v>2011</v>
      </c>
      <c r="D102" s="473">
        <v>13952508</v>
      </c>
      <c r="E102" s="480">
        <v>281070</v>
      </c>
      <c r="F102" s="479">
        <v>13671438</v>
      </c>
      <c r="G102" s="479">
        <v>13811973</v>
      </c>
      <c r="H102" s="480">
        <v>2212169</v>
      </c>
      <c r="I102" s="481">
        <v>2212169</v>
      </c>
      <c r="J102" s="478">
        <f t="shared" si="25"/>
        <v>0</v>
      </c>
      <c r="K102" s="478"/>
      <c r="L102" s="540">
        <f t="shared" si="29"/>
        <v>2212169</v>
      </c>
      <c r="M102" s="541">
        <f t="shared" si="26"/>
        <v>0</v>
      </c>
      <c r="N102" s="540">
        <f t="shared" si="30"/>
        <v>2212169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31"/>
        <v/>
      </c>
      <c r="C103" s="472">
        <f>IF(D93="","-",+C102+1)</f>
        <v>2012</v>
      </c>
      <c r="D103" s="473">
        <v>13671438</v>
      </c>
      <c r="E103" s="480">
        <v>281070</v>
      </c>
      <c r="F103" s="479">
        <v>13390368</v>
      </c>
      <c r="G103" s="479">
        <v>13530903</v>
      </c>
      <c r="H103" s="480">
        <v>2227565</v>
      </c>
      <c r="I103" s="481">
        <v>2227565</v>
      </c>
      <c r="J103" s="478">
        <v>0</v>
      </c>
      <c r="K103" s="478"/>
      <c r="L103" s="540">
        <f t="shared" si="29"/>
        <v>2227565</v>
      </c>
      <c r="M103" s="541">
        <f t="shared" ref="M103:M108" si="32">IF(L103&lt;&gt;0,+H103-L103,0)</f>
        <v>0</v>
      </c>
      <c r="N103" s="540">
        <f t="shared" si="30"/>
        <v>2227565</v>
      </c>
      <c r="O103" s="478">
        <f t="shared" ref="O103:O108" si="33">IF(N103&lt;&gt;0,+I103-N103,0)</f>
        <v>0</v>
      </c>
      <c r="P103" s="478">
        <f t="shared" ref="P103:P108" si="34">+O103-M103</f>
        <v>0</v>
      </c>
    </row>
    <row r="104" spans="1:16">
      <c r="B104" s="160" t="str">
        <f t="shared" si="31"/>
        <v/>
      </c>
      <c r="C104" s="472">
        <f>IF(D93="","-",+C103+1)</f>
        <v>2013</v>
      </c>
      <c r="D104" s="473">
        <v>13390368</v>
      </c>
      <c r="E104" s="480">
        <v>281070</v>
      </c>
      <c r="F104" s="479">
        <v>13109298</v>
      </c>
      <c r="G104" s="479">
        <v>13249833</v>
      </c>
      <c r="H104" s="480">
        <v>2188246</v>
      </c>
      <c r="I104" s="481">
        <v>2188246</v>
      </c>
      <c r="J104" s="478">
        <v>0</v>
      </c>
      <c r="K104" s="478"/>
      <c r="L104" s="540">
        <f t="shared" si="29"/>
        <v>2188246</v>
      </c>
      <c r="M104" s="541">
        <f t="shared" si="32"/>
        <v>0</v>
      </c>
      <c r="N104" s="540">
        <f t="shared" si="30"/>
        <v>2188246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2014</v>
      </c>
      <c r="D105" s="473">
        <v>13109298</v>
      </c>
      <c r="E105" s="480">
        <v>281070</v>
      </c>
      <c r="F105" s="479">
        <v>12828228</v>
      </c>
      <c r="G105" s="479">
        <v>12968763</v>
      </c>
      <c r="H105" s="480">
        <v>2104425</v>
      </c>
      <c r="I105" s="481">
        <v>2104425</v>
      </c>
      <c r="J105" s="478">
        <v>0</v>
      </c>
      <c r="K105" s="478"/>
      <c r="L105" s="540">
        <f t="shared" si="29"/>
        <v>2104425</v>
      </c>
      <c r="M105" s="541">
        <f t="shared" si="32"/>
        <v>0</v>
      </c>
      <c r="N105" s="540">
        <f t="shared" si="30"/>
        <v>2104425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2015</v>
      </c>
      <c r="D106" s="473">
        <v>12828228</v>
      </c>
      <c r="E106" s="480">
        <v>281070</v>
      </c>
      <c r="F106" s="479">
        <v>12547158</v>
      </c>
      <c r="G106" s="479">
        <v>12687693</v>
      </c>
      <c r="H106" s="480">
        <v>2012204</v>
      </c>
      <c r="I106" s="481">
        <v>2012204</v>
      </c>
      <c r="J106" s="478">
        <f t="shared" si="25"/>
        <v>0</v>
      </c>
      <c r="K106" s="478"/>
      <c r="L106" s="540">
        <f t="shared" ref="L106:L111" si="35">H106</f>
        <v>2012204</v>
      </c>
      <c r="M106" s="541">
        <f t="shared" si="32"/>
        <v>0</v>
      </c>
      <c r="N106" s="540">
        <f t="shared" ref="N106:N111" si="36">I106</f>
        <v>2012204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2016</v>
      </c>
      <c r="D107" s="473">
        <v>12547158</v>
      </c>
      <c r="E107" s="480">
        <v>317731</v>
      </c>
      <c r="F107" s="479">
        <v>12229427</v>
      </c>
      <c r="G107" s="479">
        <v>12388292.5</v>
      </c>
      <c r="H107" s="480">
        <v>1914777</v>
      </c>
      <c r="I107" s="481">
        <v>1914777</v>
      </c>
      <c r="J107" s="478">
        <f t="shared" si="25"/>
        <v>0</v>
      </c>
      <c r="K107" s="478"/>
      <c r="L107" s="540">
        <f t="shared" si="35"/>
        <v>1914777</v>
      </c>
      <c r="M107" s="541">
        <f t="shared" si="32"/>
        <v>0</v>
      </c>
      <c r="N107" s="540">
        <f t="shared" si="36"/>
        <v>1914777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2017</v>
      </c>
      <c r="D108" s="473">
        <v>12229427</v>
      </c>
      <c r="E108" s="480">
        <v>317731</v>
      </c>
      <c r="F108" s="479">
        <v>11911696</v>
      </c>
      <c r="G108" s="479">
        <v>12070561.5</v>
      </c>
      <c r="H108" s="480">
        <v>1848912</v>
      </c>
      <c r="I108" s="481">
        <v>1848912</v>
      </c>
      <c r="J108" s="478">
        <f t="shared" si="25"/>
        <v>0</v>
      </c>
      <c r="K108" s="478"/>
      <c r="L108" s="540">
        <f t="shared" si="35"/>
        <v>1848912</v>
      </c>
      <c r="M108" s="541">
        <f t="shared" si="32"/>
        <v>0</v>
      </c>
      <c r="N108" s="540">
        <f t="shared" si="36"/>
        <v>1848912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31"/>
        <v/>
      </c>
      <c r="C109" s="472">
        <f>IF(D93="","-",+C108+1)</f>
        <v>2018</v>
      </c>
      <c r="D109" s="473">
        <v>11911696</v>
      </c>
      <c r="E109" s="480">
        <v>339899</v>
      </c>
      <c r="F109" s="479">
        <v>11571797</v>
      </c>
      <c r="G109" s="479">
        <v>11741746.5</v>
      </c>
      <c r="H109" s="480">
        <v>1546194</v>
      </c>
      <c r="I109" s="481">
        <v>1546194</v>
      </c>
      <c r="J109" s="478">
        <f t="shared" si="25"/>
        <v>0</v>
      </c>
      <c r="K109" s="478"/>
      <c r="L109" s="540">
        <f t="shared" si="35"/>
        <v>1546194</v>
      </c>
      <c r="M109" s="541">
        <f t="shared" ref="M109" si="37">IF(L109&lt;&gt;0,+H109-L109,0)</f>
        <v>0</v>
      </c>
      <c r="N109" s="540">
        <f t="shared" si="36"/>
        <v>1546194</v>
      </c>
      <c r="O109" s="478">
        <f t="shared" ref="O109" si="38">IF(N109&lt;&gt;0,+I109-N109,0)</f>
        <v>0</v>
      </c>
      <c r="P109" s="478">
        <f t="shared" ref="P109" si="39">+O109-M109</f>
        <v>0</v>
      </c>
    </row>
    <row r="110" spans="1:16">
      <c r="B110" s="160" t="str">
        <f t="shared" si="31"/>
        <v/>
      </c>
      <c r="C110" s="472">
        <f>IF(D93="","-",+C109+1)</f>
        <v>2019</v>
      </c>
      <c r="D110" s="473">
        <v>11571797</v>
      </c>
      <c r="E110" s="480">
        <v>356479</v>
      </c>
      <c r="F110" s="479">
        <v>11215318</v>
      </c>
      <c r="G110" s="479">
        <v>11393557.5</v>
      </c>
      <c r="H110" s="480">
        <v>1531315</v>
      </c>
      <c r="I110" s="481">
        <v>1531315</v>
      </c>
      <c r="J110" s="478">
        <f t="shared" si="25"/>
        <v>0</v>
      </c>
      <c r="K110" s="478"/>
      <c r="L110" s="540">
        <f t="shared" si="35"/>
        <v>1531315</v>
      </c>
      <c r="M110" s="541">
        <f t="shared" ref="M110:M111" si="40">IF(L110&lt;&gt;0,+H110-L110,0)</f>
        <v>0</v>
      </c>
      <c r="N110" s="540">
        <f t="shared" si="36"/>
        <v>1531315</v>
      </c>
      <c r="O110" s="478">
        <f t="shared" si="27"/>
        <v>0</v>
      </c>
      <c r="P110" s="478">
        <f t="shared" si="28"/>
        <v>0</v>
      </c>
    </row>
    <row r="111" spans="1:16">
      <c r="B111" s="160" t="str">
        <f t="shared" si="31"/>
        <v/>
      </c>
      <c r="C111" s="472">
        <f>IF(D93="","-",+C110+1)</f>
        <v>2020</v>
      </c>
      <c r="D111" s="473">
        <v>11215318</v>
      </c>
      <c r="E111" s="480">
        <v>339899</v>
      </c>
      <c r="F111" s="479">
        <v>10875419</v>
      </c>
      <c r="G111" s="479">
        <v>11045368.5</v>
      </c>
      <c r="H111" s="480">
        <v>1613399.6213131989</v>
      </c>
      <c r="I111" s="481">
        <v>1613399.6213131989</v>
      </c>
      <c r="J111" s="478">
        <f t="shared" si="25"/>
        <v>0</v>
      </c>
      <c r="K111" s="478"/>
      <c r="L111" s="540">
        <f t="shared" si="35"/>
        <v>1613399.6213131989</v>
      </c>
      <c r="M111" s="541">
        <f t="shared" si="40"/>
        <v>0</v>
      </c>
      <c r="N111" s="540">
        <f t="shared" si="36"/>
        <v>1613399.6213131989</v>
      </c>
      <c r="O111" s="478">
        <f t="shared" si="27"/>
        <v>0</v>
      </c>
      <c r="P111" s="478">
        <f t="shared" si="28"/>
        <v>0</v>
      </c>
    </row>
    <row r="112" spans="1:16">
      <c r="B112" s="160" t="str">
        <f t="shared" si="31"/>
        <v/>
      </c>
      <c r="C112" s="472">
        <f>IF(D93="","-",+C111+1)</f>
        <v>2021</v>
      </c>
      <c r="D112" s="346">
        <f>IF(F111+SUM(E$99:E111)=D$92,F111,D$92-SUM(E$99:E111))</f>
        <v>10875419</v>
      </c>
      <c r="E112" s="486">
        <f>IF(+J96&lt;F111,J96,D112)</f>
        <v>347991</v>
      </c>
      <c r="F112" s="485">
        <f t="shared" ref="F112:F130" si="41">+D112-E112</f>
        <v>10527428</v>
      </c>
      <c r="G112" s="485">
        <f t="shared" si="24"/>
        <v>10701423.5</v>
      </c>
      <c r="H112" s="488">
        <f t="shared" ref="H112:H154" si="42">ROUND(J$94*G112,0)+E112</f>
        <v>1501725</v>
      </c>
      <c r="I112" s="542">
        <f t="shared" ref="I112:I154" si="43">ROUND(J$95*G112,0)+E112</f>
        <v>1501725</v>
      </c>
      <c r="J112" s="478">
        <f t="shared" si="25"/>
        <v>0</v>
      </c>
      <c r="K112" s="478"/>
      <c r="L112" s="487"/>
      <c r="M112" s="478">
        <f t="shared" si="26"/>
        <v>0</v>
      </c>
      <c r="N112" s="487"/>
      <c r="O112" s="478">
        <f t="shared" si="27"/>
        <v>0</v>
      </c>
      <c r="P112" s="478">
        <f t="shared" si="28"/>
        <v>0</v>
      </c>
    </row>
    <row r="113" spans="2:16">
      <c r="B113" s="160" t="str">
        <f t="shared" si="31"/>
        <v/>
      </c>
      <c r="C113" s="472">
        <f>IF(D93="","-",+C112+1)</f>
        <v>2022</v>
      </c>
      <c r="D113" s="346">
        <f>IF(F112+SUM(E$99:E112)=D$92,F112,D$92-SUM(E$99:E112))</f>
        <v>10527428</v>
      </c>
      <c r="E113" s="486">
        <f>IF(+J96&lt;F112,J96,D113)</f>
        <v>347991</v>
      </c>
      <c r="F113" s="485">
        <f t="shared" si="41"/>
        <v>10179437</v>
      </c>
      <c r="G113" s="485">
        <f t="shared" si="24"/>
        <v>10353432.5</v>
      </c>
      <c r="H113" s="488">
        <f t="shared" si="42"/>
        <v>1464207</v>
      </c>
      <c r="I113" s="542">
        <f t="shared" si="43"/>
        <v>1464207</v>
      </c>
      <c r="J113" s="478">
        <f t="shared" si="25"/>
        <v>0</v>
      </c>
      <c r="K113" s="478"/>
      <c r="L113" s="487"/>
      <c r="M113" s="478">
        <f t="shared" si="26"/>
        <v>0</v>
      </c>
      <c r="N113" s="487"/>
      <c r="O113" s="478">
        <f t="shared" si="27"/>
        <v>0</v>
      </c>
      <c r="P113" s="478">
        <f t="shared" si="28"/>
        <v>0</v>
      </c>
    </row>
    <row r="114" spans="2:16">
      <c r="B114" s="160" t="str">
        <f t="shared" si="31"/>
        <v/>
      </c>
      <c r="C114" s="472">
        <f>IF(D93="","-",+C113+1)</f>
        <v>2023</v>
      </c>
      <c r="D114" s="346">
        <f>IF(F113+SUM(E$99:E113)=D$92,F113,D$92-SUM(E$99:E113))</f>
        <v>10179437</v>
      </c>
      <c r="E114" s="486">
        <f>IF(+J96&lt;F113,J96,D114)</f>
        <v>347991</v>
      </c>
      <c r="F114" s="485">
        <f t="shared" si="41"/>
        <v>9831446</v>
      </c>
      <c r="G114" s="485">
        <f t="shared" si="24"/>
        <v>10005441.5</v>
      </c>
      <c r="H114" s="488">
        <f t="shared" si="42"/>
        <v>1426690</v>
      </c>
      <c r="I114" s="542">
        <f t="shared" si="43"/>
        <v>1426690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31"/>
        <v/>
      </c>
      <c r="C115" s="472">
        <f>IF(D93="","-",+C114+1)</f>
        <v>2024</v>
      </c>
      <c r="D115" s="346">
        <f>IF(F114+SUM(E$99:E114)=D$92,F114,D$92-SUM(E$99:E114))</f>
        <v>9831446</v>
      </c>
      <c r="E115" s="486">
        <f>IF(+J96&lt;F114,J96,D115)</f>
        <v>347991</v>
      </c>
      <c r="F115" s="485">
        <f t="shared" si="41"/>
        <v>9483455</v>
      </c>
      <c r="G115" s="485">
        <f t="shared" si="24"/>
        <v>9657450.5</v>
      </c>
      <c r="H115" s="488">
        <f t="shared" si="42"/>
        <v>1389173</v>
      </c>
      <c r="I115" s="542">
        <f t="shared" si="43"/>
        <v>1389173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31"/>
        <v/>
      </c>
      <c r="C116" s="472">
        <f>IF(D93="","-",+C115+1)</f>
        <v>2025</v>
      </c>
      <c r="D116" s="346">
        <f>IF(F115+SUM(E$99:E115)=D$92,F115,D$92-SUM(E$99:E115))</f>
        <v>9483455</v>
      </c>
      <c r="E116" s="486">
        <f>IF(+J96&lt;F115,J96,D116)</f>
        <v>347991</v>
      </c>
      <c r="F116" s="485">
        <f t="shared" si="41"/>
        <v>9135464</v>
      </c>
      <c r="G116" s="485">
        <f t="shared" si="24"/>
        <v>9309459.5</v>
      </c>
      <c r="H116" s="488">
        <f t="shared" si="42"/>
        <v>1351655</v>
      </c>
      <c r="I116" s="542">
        <f t="shared" si="43"/>
        <v>1351655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31"/>
        <v/>
      </c>
      <c r="C117" s="472">
        <f>IF(D93="","-",+C116+1)</f>
        <v>2026</v>
      </c>
      <c r="D117" s="346">
        <f>IF(F116+SUM(E$99:E116)=D$92,F116,D$92-SUM(E$99:E116))</f>
        <v>9135464</v>
      </c>
      <c r="E117" s="486">
        <f>IF(+J96&lt;F116,J96,D117)</f>
        <v>347991</v>
      </c>
      <c r="F117" s="485">
        <f t="shared" si="41"/>
        <v>8787473</v>
      </c>
      <c r="G117" s="485">
        <f t="shared" si="24"/>
        <v>8961468.5</v>
      </c>
      <c r="H117" s="488">
        <f t="shared" si="42"/>
        <v>1314138</v>
      </c>
      <c r="I117" s="542">
        <f t="shared" si="43"/>
        <v>1314138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31"/>
        <v/>
      </c>
      <c r="C118" s="472">
        <f>IF(D93="","-",+C117+1)</f>
        <v>2027</v>
      </c>
      <c r="D118" s="346">
        <f>IF(F117+SUM(E$99:E117)=D$92,F117,D$92-SUM(E$99:E117))</f>
        <v>8787473</v>
      </c>
      <c r="E118" s="486">
        <f>IF(+J96&lt;F117,J96,D118)</f>
        <v>347991</v>
      </c>
      <c r="F118" s="485">
        <f t="shared" si="41"/>
        <v>8439482</v>
      </c>
      <c r="G118" s="485">
        <f t="shared" si="24"/>
        <v>8613477.5</v>
      </c>
      <c r="H118" s="488">
        <f t="shared" si="42"/>
        <v>1276621</v>
      </c>
      <c r="I118" s="542">
        <f t="shared" si="43"/>
        <v>1276621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31"/>
        <v/>
      </c>
      <c r="C119" s="472">
        <f>IF(D93="","-",+C118+1)</f>
        <v>2028</v>
      </c>
      <c r="D119" s="346">
        <f>IF(F118+SUM(E$99:E118)=D$92,F118,D$92-SUM(E$99:E118))</f>
        <v>8439482</v>
      </c>
      <c r="E119" s="486">
        <f>IF(+J96&lt;F118,J96,D119)</f>
        <v>347991</v>
      </c>
      <c r="F119" s="485">
        <f t="shared" si="41"/>
        <v>8091491</v>
      </c>
      <c r="G119" s="485">
        <f t="shared" si="24"/>
        <v>8265486.5</v>
      </c>
      <c r="H119" s="488">
        <f t="shared" si="42"/>
        <v>1239103</v>
      </c>
      <c r="I119" s="542">
        <f t="shared" si="43"/>
        <v>1239103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31"/>
        <v/>
      </c>
      <c r="C120" s="472">
        <f>IF(D93="","-",+C119+1)</f>
        <v>2029</v>
      </c>
      <c r="D120" s="346">
        <f>IF(F119+SUM(E$99:E119)=D$92,F119,D$92-SUM(E$99:E119))</f>
        <v>8091491</v>
      </c>
      <c r="E120" s="486">
        <f>IF(+J96&lt;F119,J96,D120)</f>
        <v>347991</v>
      </c>
      <c r="F120" s="485">
        <f t="shared" si="41"/>
        <v>7743500</v>
      </c>
      <c r="G120" s="485">
        <f t="shared" si="24"/>
        <v>7917495.5</v>
      </c>
      <c r="H120" s="488">
        <f t="shared" si="42"/>
        <v>1201586</v>
      </c>
      <c r="I120" s="542">
        <f t="shared" si="43"/>
        <v>1201586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31"/>
        <v/>
      </c>
      <c r="C121" s="472">
        <f>IF(D93="","-",+C120+1)</f>
        <v>2030</v>
      </c>
      <c r="D121" s="346">
        <f>IF(F120+SUM(E$99:E120)=D$92,F120,D$92-SUM(E$99:E120))</f>
        <v>7743500</v>
      </c>
      <c r="E121" s="486">
        <f>IF(+J96&lt;F120,J96,D121)</f>
        <v>347991</v>
      </c>
      <c r="F121" s="485">
        <f t="shared" si="41"/>
        <v>7395509</v>
      </c>
      <c r="G121" s="485">
        <f t="shared" si="24"/>
        <v>7569504.5</v>
      </c>
      <c r="H121" s="488">
        <f t="shared" si="42"/>
        <v>1164069</v>
      </c>
      <c r="I121" s="542">
        <f t="shared" si="43"/>
        <v>1164069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31"/>
        <v/>
      </c>
      <c r="C122" s="472">
        <f>IF(D93="","-",+C121+1)</f>
        <v>2031</v>
      </c>
      <c r="D122" s="346">
        <f>IF(F121+SUM(E$99:E121)=D$92,F121,D$92-SUM(E$99:E121))</f>
        <v>7395509</v>
      </c>
      <c r="E122" s="486">
        <f>IF(+J96&lt;F121,J96,D122)</f>
        <v>347991</v>
      </c>
      <c r="F122" s="485">
        <f t="shared" si="41"/>
        <v>7047518</v>
      </c>
      <c r="G122" s="485">
        <f t="shared" si="24"/>
        <v>7221513.5</v>
      </c>
      <c r="H122" s="488">
        <f t="shared" si="42"/>
        <v>1126551</v>
      </c>
      <c r="I122" s="542">
        <f t="shared" si="43"/>
        <v>1126551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31"/>
        <v/>
      </c>
      <c r="C123" s="472">
        <f>IF(D93="","-",+C122+1)</f>
        <v>2032</v>
      </c>
      <c r="D123" s="346">
        <f>IF(F122+SUM(E$99:E122)=D$92,F122,D$92-SUM(E$99:E122))</f>
        <v>7047518</v>
      </c>
      <c r="E123" s="486">
        <f>IF(+J96&lt;F122,J96,D123)</f>
        <v>347991</v>
      </c>
      <c r="F123" s="485">
        <f t="shared" si="41"/>
        <v>6699527</v>
      </c>
      <c r="G123" s="485">
        <f t="shared" si="24"/>
        <v>6873522.5</v>
      </c>
      <c r="H123" s="488">
        <f t="shared" si="42"/>
        <v>1089034</v>
      </c>
      <c r="I123" s="542">
        <f t="shared" si="43"/>
        <v>1089034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31"/>
        <v/>
      </c>
      <c r="C124" s="472">
        <f>IF(D93="","-",+C123+1)</f>
        <v>2033</v>
      </c>
      <c r="D124" s="346">
        <f>IF(F123+SUM(E$99:E123)=D$92,F123,D$92-SUM(E$99:E123))</f>
        <v>6699527</v>
      </c>
      <c r="E124" s="486">
        <f>IF(+J96&lt;F123,J96,D124)</f>
        <v>347991</v>
      </c>
      <c r="F124" s="485">
        <f t="shared" si="41"/>
        <v>6351536</v>
      </c>
      <c r="G124" s="485">
        <f t="shared" si="24"/>
        <v>6525531.5</v>
      </c>
      <c r="H124" s="488">
        <f t="shared" si="42"/>
        <v>1051517</v>
      </c>
      <c r="I124" s="542">
        <f t="shared" si="43"/>
        <v>1051517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31"/>
        <v/>
      </c>
      <c r="C125" s="472">
        <f>IF(D93="","-",+C124+1)</f>
        <v>2034</v>
      </c>
      <c r="D125" s="346">
        <f>IF(F124+SUM(E$99:E124)=D$92,F124,D$92-SUM(E$99:E124))</f>
        <v>6351536</v>
      </c>
      <c r="E125" s="486">
        <f>IF(+J96&lt;F124,J96,D125)</f>
        <v>347991</v>
      </c>
      <c r="F125" s="485">
        <f t="shared" si="41"/>
        <v>6003545</v>
      </c>
      <c r="G125" s="485">
        <f t="shared" si="24"/>
        <v>6177540.5</v>
      </c>
      <c r="H125" s="488">
        <f t="shared" si="42"/>
        <v>1013999</v>
      </c>
      <c r="I125" s="542">
        <f t="shared" si="43"/>
        <v>1013999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31"/>
        <v/>
      </c>
      <c r="C126" s="472">
        <f>IF(D93="","-",+C125+1)</f>
        <v>2035</v>
      </c>
      <c r="D126" s="346">
        <f>IF(F125+SUM(E$99:E125)=D$92,F125,D$92-SUM(E$99:E125))</f>
        <v>6003545</v>
      </c>
      <c r="E126" s="486">
        <f>IF(+J96&lt;F125,J96,D126)</f>
        <v>347991</v>
      </c>
      <c r="F126" s="485">
        <f t="shared" si="41"/>
        <v>5655554</v>
      </c>
      <c r="G126" s="485">
        <f t="shared" si="24"/>
        <v>5829549.5</v>
      </c>
      <c r="H126" s="488">
        <f t="shared" si="42"/>
        <v>976482</v>
      </c>
      <c r="I126" s="542">
        <f t="shared" si="43"/>
        <v>976482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31"/>
        <v/>
      </c>
      <c r="C127" s="472">
        <f>IF(D93="","-",+C126+1)</f>
        <v>2036</v>
      </c>
      <c r="D127" s="346">
        <f>IF(F126+SUM(E$99:E126)=D$92,F126,D$92-SUM(E$99:E126))</f>
        <v>5655554</v>
      </c>
      <c r="E127" s="486">
        <f>IF(+J96&lt;F126,J96,D127)</f>
        <v>347991</v>
      </c>
      <c r="F127" s="485">
        <f t="shared" si="41"/>
        <v>5307563</v>
      </c>
      <c r="G127" s="485">
        <f t="shared" si="24"/>
        <v>5481558.5</v>
      </c>
      <c r="H127" s="488">
        <f t="shared" si="42"/>
        <v>938965</v>
      </c>
      <c r="I127" s="542">
        <f t="shared" si="43"/>
        <v>938965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31"/>
        <v/>
      </c>
      <c r="C128" s="472">
        <f>IF(D93="","-",+C127+1)</f>
        <v>2037</v>
      </c>
      <c r="D128" s="346">
        <f>IF(F127+SUM(E$99:E127)=D$92,F127,D$92-SUM(E$99:E127))</f>
        <v>5307563</v>
      </c>
      <c r="E128" s="486">
        <f>IF(+J96&lt;F127,J96,D128)</f>
        <v>347991</v>
      </c>
      <c r="F128" s="485">
        <f t="shared" si="41"/>
        <v>4959572</v>
      </c>
      <c r="G128" s="485">
        <f t="shared" si="24"/>
        <v>5133567.5</v>
      </c>
      <c r="H128" s="488">
        <f t="shared" si="42"/>
        <v>901447</v>
      </c>
      <c r="I128" s="542">
        <f t="shared" si="43"/>
        <v>901447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31"/>
        <v/>
      </c>
      <c r="C129" s="472">
        <f>IF(D93="","-",+C128+1)</f>
        <v>2038</v>
      </c>
      <c r="D129" s="346">
        <f>IF(F128+SUM(E$99:E128)=D$92,F128,D$92-SUM(E$99:E128))</f>
        <v>4959572</v>
      </c>
      <c r="E129" s="486">
        <f>IF(+J96&lt;F128,J96,D129)</f>
        <v>347991</v>
      </c>
      <c r="F129" s="485">
        <f t="shared" si="41"/>
        <v>4611581</v>
      </c>
      <c r="G129" s="485">
        <f t="shared" si="24"/>
        <v>4785576.5</v>
      </c>
      <c r="H129" s="488">
        <f t="shared" si="42"/>
        <v>863930</v>
      </c>
      <c r="I129" s="542">
        <f t="shared" si="43"/>
        <v>863930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31"/>
        <v/>
      </c>
      <c r="C130" s="472">
        <f>IF(D93="","-",+C129+1)</f>
        <v>2039</v>
      </c>
      <c r="D130" s="346">
        <f>IF(F129+SUM(E$99:E129)=D$92,F129,D$92-SUM(E$99:E129))</f>
        <v>4611581</v>
      </c>
      <c r="E130" s="486">
        <f>IF(+J96&lt;F129,J96,D130)</f>
        <v>347991</v>
      </c>
      <c r="F130" s="485">
        <f t="shared" si="41"/>
        <v>4263590</v>
      </c>
      <c r="G130" s="485">
        <f t="shared" si="24"/>
        <v>4437585.5</v>
      </c>
      <c r="H130" s="488">
        <f t="shared" si="42"/>
        <v>826413</v>
      </c>
      <c r="I130" s="542">
        <f t="shared" si="43"/>
        <v>826413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31"/>
        <v/>
      </c>
      <c r="C131" s="472">
        <f>IF(D93="","-",+C130+1)</f>
        <v>2040</v>
      </c>
      <c r="D131" s="346">
        <f>IF(F130+SUM(E$99:E130)=D$92,F130,D$92-SUM(E$99:E130))</f>
        <v>4263590</v>
      </c>
      <c r="E131" s="486">
        <f>IF(+J96&lt;F130,J96,D131)</f>
        <v>347991</v>
      </c>
      <c r="F131" s="485">
        <f t="shared" ref="F131:F154" si="44">+D131-E131</f>
        <v>3915599</v>
      </c>
      <c r="G131" s="485">
        <f t="shared" ref="G131:G154" si="45">+(F131+D131)/2</f>
        <v>4089594.5</v>
      </c>
      <c r="H131" s="488">
        <f t="shared" si="42"/>
        <v>788895</v>
      </c>
      <c r="I131" s="542">
        <f t="shared" si="43"/>
        <v>788895</v>
      </c>
      <c r="J131" s="478">
        <f t="shared" si="25"/>
        <v>0</v>
      </c>
      <c r="K131" s="478"/>
      <c r="L131" s="487"/>
      <c r="M131" s="478">
        <f t="shared" ref="M131:M154" si="46">IF(L131&lt;&gt;0,+H131-L131,0)</f>
        <v>0</v>
      </c>
      <c r="N131" s="487"/>
      <c r="O131" s="478">
        <f t="shared" ref="O131:O154" si="47">IF(N131&lt;&gt;0,+I131-N131,0)</f>
        <v>0</v>
      </c>
      <c r="P131" s="478">
        <f t="shared" ref="P131:P154" si="48">+O131-M131</f>
        <v>0</v>
      </c>
    </row>
    <row r="132" spans="2:16">
      <c r="B132" s="160" t="str">
        <f t="shared" si="31"/>
        <v/>
      </c>
      <c r="C132" s="472">
        <f>IF(D93="","-",+C131+1)</f>
        <v>2041</v>
      </c>
      <c r="D132" s="346">
        <f>IF(F131+SUM(E$99:E131)=D$92,F131,D$92-SUM(E$99:E131))</f>
        <v>3915599</v>
      </c>
      <c r="E132" s="486">
        <f>IF(+J96&lt;F131,J96,D132)</f>
        <v>347991</v>
      </c>
      <c r="F132" s="485">
        <f t="shared" si="44"/>
        <v>3567608</v>
      </c>
      <c r="G132" s="485">
        <f t="shared" si="45"/>
        <v>3741603.5</v>
      </c>
      <c r="H132" s="488">
        <f t="shared" si="42"/>
        <v>751378</v>
      </c>
      <c r="I132" s="542">
        <f t="shared" si="43"/>
        <v>751378</v>
      </c>
      <c r="J132" s="478">
        <f t="shared" ref="J132:J154" si="49">+I132-H132</f>
        <v>0</v>
      </c>
      <c r="K132" s="478"/>
      <c r="L132" s="487"/>
      <c r="M132" s="478">
        <f t="shared" si="46"/>
        <v>0</v>
      </c>
      <c r="N132" s="487"/>
      <c r="O132" s="478">
        <f t="shared" si="47"/>
        <v>0</v>
      </c>
      <c r="P132" s="478">
        <f t="shared" si="48"/>
        <v>0</v>
      </c>
    </row>
    <row r="133" spans="2:16">
      <c r="B133" s="160" t="str">
        <f t="shared" si="31"/>
        <v/>
      </c>
      <c r="C133" s="472">
        <f>IF(D93="","-",+C132+1)</f>
        <v>2042</v>
      </c>
      <c r="D133" s="346">
        <f>IF(F132+SUM(E$99:E132)=D$92,F132,D$92-SUM(E$99:E132))</f>
        <v>3567608</v>
      </c>
      <c r="E133" s="486">
        <f>IF(+J96&lt;F132,J96,D133)</f>
        <v>347991</v>
      </c>
      <c r="F133" s="485">
        <f t="shared" si="44"/>
        <v>3219617</v>
      </c>
      <c r="G133" s="485">
        <f t="shared" si="45"/>
        <v>3393612.5</v>
      </c>
      <c r="H133" s="488">
        <f t="shared" si="42"/>
        <v>713861</v>
      </c>
      <c r="I133" s="542">
        <f t="shared" si="43"/>
        <v>713861</v>
      </c>
      <c r="J133" s="478">
        <f t="shared" si="49"/>
        <v>0</v>
      </c>
      <c r="K133" s="478"/>
      <c r="L133" s="487"/>
      <c r="M133" s="478">
        <f t="shared" si="46"/>
        <v>0</v>
      </c>
      <c r="N133" s="487"/>
      <c r="O133" s="478">
        <f t="shared" si="47"/>
        <v>0</v>
      </c>
      <c r="P133" s="478">
        <f t="shared" si="48"/>
        <v>0</v>
      </c>
    </row>
    <row r="134" spans="2:16">
      <c r="B134" s="160" t="str">
        <f t="shared" si="31"/>
        <v/>
      </c>
      <c r="C134" s="472">
        <f>IF(D93="","-",+C133+1)</f>
        <v>2043</v>
      </c>
      <c r="D134" s="346">
        <f>IF(F133+SUM(E$99:E133)=D$92,F133,D$92-SUM(E$99:E133))</f>
        <v>3219617</v>
      </c>
      <c r="E134" s="486">
        <f>IF(+J96&lt;F133,J96,D134)</f>
        <v>347991</v>
      </c>
      <c r="F134" s="485">
        <f t="shared" si="44"/>
        <v>2871626</v>
      </c>
      <c r="G134" s="485">
        <f t="shared" si="45"/>
        <v>3045621.5</v>
      </c>
      <c r="H134" s="488">
        <f t="shared" si="42"/>
        <v>676343</v>
      </c>
      <c r="I134" s="542">
        <f t="shared" si="43"/>
        <v>676343</v>
      </c>
      <c r="J134" s="478">
        <f t="shared" si="49"/>
        <v>0</v>
      </c>
      <c r="K134" s="478"/>
      <c r="L134" s="487"/>
      <c r="M134" s="478">
        <f t="shared" si="46"/>
        <v>0</v>
      </c>
      <c r="N134" s="487"/>
      <c r="O134" s="478">
        <f t="shared" si="47"/>
        <v>0</v>
      </c>
      <c r="P134" s="478">
        <f t="shared" si="48"/>
        <v>0</v>
      </c>
    </row>
    <row r="135" spans="2:16">
      <c r="B135" s="160" t="str">
        <f t="shared" si="31"/>
        <v/>
      </c>
      <c r="C135" s="472">
        <f>IF(D93="","-",+C134+1)</f>
        <v>2044</v>
      </c>
      <c r="D135" s="346">
        <f>IF(F134+SUM(E$99:E134)=D$92,F134,D$92-SUM(E$99:E134))</f>
        <v>2871626</v>
      </c>
      <c r="E135" s="486">
        <f>IF(+J96&lt;F134,J96,D135)</f>
        <v>347991</v>
      </c>
      <c r="F135" s="485">
        <f t="shared" si="44"/>
        <v>2523635</v>
      </c>
      <c r="G135" s="485">
        <f t="shared" si="45"/>
        <v>2697630.5</v>
      </c>
      <c r="H135" s="488">
        <f t="shared" si="42"/>
        <v>638826</v>
      </c>
      <c r="I135" s="542">
        <f t="shared" si="43"/>
        <v>638826</v>
      </c>
      <c r="J135" s="478">
        <f t="shared" si="49"/>
        <v>0</v>
      </c>
      <c r="K135" s="478"/>
      <c r="L135" s="487"/>
      <c r="M135" s="478">
        <f t="shared" si="46"/>
        <v>0</v>
      </c>
      <c r="N135" s="487"/>
      <c r="O135" s="478">
        <f t="shared" si="47"/>
        <v>0</v>
      </c>
      <c r="P135" s="478">
        <f t="shared" si="48"/>
        <v>0</v>
      </c>
    </row>
    <row r="136" spans="2:16">
      <c r="B136" s="160" t="str">
        <f t="shared" si="31"/>
        <v/>
      </c>
      <c r="C136" s="472">
        <f>IF(D93="","-",+C135+1)</f>
        <v>2045</v>
      </c>
      <c r="D136" s="346">
        <f>IF(F135+SUM(E$99:E135)=D$92,F135,D$92-SUM(E$99:E135))</f>
        <v>2523635</v>
      </c>
      <c r="E136" s="486">
        <f>IF(+J96&lt;F135,J96,D136)</f>
        <v>347991</v>
      </c>
      <c r="F136" s="485">
        <f t="shared" si="44"/>
        <v>2175644</v>
      </c>
      <c r="G136" s="485">
        <f t="shared" si="45"/>
        <v>2349639.5</v>
      </c>
      <c r="H136" s="488">
        <f t="shared" si="42"/>
        <v>601309</v>
      </c>
      <c r="I136" s="542">
        <f t="shared" si="43"/>
        <v>601309</v>
      </c>
      <c r="J136" s="478">
        <f t="shared" si="49"/>
        <v>0</v>
      </c>
      <c r="K136" s="478"/>
      <c r="L136" s="487"/>
      <c r="M136" s="478">
        <f t="shared" si="46"/>
        <v>0</v>
      </c>
      <c r="N136" s="487"/>
      <c r="O136" s="478">
        <f t="shared" si="47"/>
        <v>0</v>
      </c>
      <c r="P136" s="478">
        <f t="shared" si="48"/>
        <v>0</v>
      </c>
    </row>
    <row r="137" spans="2:16">
      <c r="B137" s="160" t="str">
        <f t="shared" si="31"/>
        <v/>
      </c>
      <c r="C137" s="472">
        <f>IF(D93="","-",+C136+1)</f>
        <v>2046</v>
      </c>
      <c r="D137" s="346">
        <f>IF(F136+SUM(E$99:E136)=D$92,F136,D$92-SUM(E$99:E136))</f>
        <v>2175644</v>
      </c>
      <c r="E137" s="486">
        <f>IF(+J96&lt;F136,J96,D137)</f>
        <v>347991</v>
      </c>
      <c r="F137" s="485">
        <f t="shared" si="44"/>
        <v>1827653</v>
      </c>
      <c r="G137" s="485">
        <f t="shared" si="45"/>
        <v>2001648.5</v>
      </c>
      <c r="H137" s="488">
        <f t="shared" si="42"/>
        <v>563791</v>
      </c>
      <c r="I137" s="542">
        <f t="shared" si="43"/>
        <v>563791</v>
      </c>
      <c r="J137" s="478">
        <f t="shared" si="49"/>
        <v>0</v>
      </c>
      <c r="K137" s="478"/>
      <c r="L137" s="487"/>
      <c r="M137" s="478">
        <f t="shared" si="46"/>
        <v>0</v>
      </c>
      <c r="N137" s="487"/>
      <c r="O137" s="478">
        <f t="shared" si="47"/>
        <v>0</v>
      </c>
      <c r="P137" s="478">
        <f t="shared" si="48"/>
        <v>0</v>
      </c>
    </row>
    <row r="138" spans="2:16">
      <c r="B138" s="160" t="str">
        <f t="shared" si="31"/>
        <v/>
      </c>
      <c r="C138" s="472">
        <f>IF(D93="","-",+C137+1)</f>
        <v>2047</v>
      </c>
      <c r="D138" s="346">
        <f>IF(F137+SUM(E$99:E137)=D$92,F137,D$92-SUM(E$99:E137))</f>
        <v>1827653</v>
      </c>
      <c r="E138" s="486">
        <f>IF(+J96&lt;F137,J96,D138)</f>
        <v>347991</v>
      </c>
      <c r="F138" s="485">
        <f t="shared" si="44"/>
        <v>1479662</v>
      </c>
      <c r="G138" s="485">
        <f t="shared" si="45"/>
        <v>1653657.5</v>
      </c>
      <c r="H138" s="488">
        <f t="shared" si="42"/>
        <v>526274</v>
      </c>
      <c r="I138" s="542">
        <f t="shared" si="43"/>
        <v>526274</v>
      </c>
      <c r="J138" s="478">
        <f t="shared" si="49"/>
        <v>0</v>
      </c>
      <c r="K138" s="478"/>
      <c r="L138" s="487"/>
      <c r="M138" s="478">
        <f t="shared" si="46"/>
        <v>0</v>
      </c>
      <c r="N138" s="487"/>
      <c r="O138" s="478">
        <f t="shared" si="47"/>
        <v>0</v>
      </c>
      <c r="P138" s="478">
        <f t="shared" si="48"/>
        <v>0</v>
      </c>
    </row>
    <row r="139" spans="2:16">
      <c r="B139" s="160" t="str">
        <f t="shared" si="31"/>
        <v/>
      </c>
      <c r="C139" s="472">
        <f>IF(D93="","-",+C138+1)</f>
        <v>2048</v>
      </c>
      <c r="D139" s="346">
        <f>IF(F138+SUM(E$99:E138)=D$92,F138,D$92-SUM(E$99:E138))</f>
        <v>1479662</v>
      </c>
      <c r="E139" s="486">
        <f>IF(+J96&lt;F138,J96,D139)</f>
        <v>347991</v>
      </c>
      <c r="F139" s="485">
        <f t="shared" si="44"/>
        <v>1131671</v>
      </c>
      <c r="G139" s="485">
        <f t="shared" si="45"/>
        <v>1305666.5</v>
      </c>
      <c r="H139" s="488">
        <f t="shared" si="42"/>
        <v>488757</v>
      </c>
      <c r="I139" s="542">
        <f t="shared" si="43"/>
        <v>488757</v>
      </c>
      <c r="J139" s="478">
        <f t="shared" si="49"/>
        <v>0</v>
      </c>
      <c r="K139" s="478"/>
      <c r="L139" s="487"/>
      <c r="M139" s="478">
        <f t="shared" si="46"/>
        <v>0</v>
      </c>
      <c r="N139" s="487"/>
      <c r="O139" s="478">
        <f t="shared" si="47"/>
        <v>0</v>
      </c>
      <c r="P139" s="478">
        <f t="shared" si="48"/>
        <v>0</v>
      </c>
    </row>
    <row r="140" spans="2:16">
      <c r="B140" s="160" t="str">
        <f t="shared" si="31"/>
        <v/>
      </c>
      <c r="C140" s="472">
        <f>IF(D93="","-",+C139+1)</f>
        <v>2049</v>
      </c>
      <c r="D140" s="346">
        <f>IF(F139+SUM(E$99:E139)=D$92,F139,D$92-SUM(E$99:E139))</f>
        <v>1131671</v>
      </c>
      <c r="E140" s="486">
        <f>IF(+J96&lt;F139,J96,D140)</f>
        <v>347991</v>
      </c>
      <c r="F140" s="485">
        <f t="shared" si="44"/>
        <v>783680</v>
      </c>
      <c r="G140" s="485">
        <f t="shared" si="45"/>
        <v>957675.5</v>
      </c>
      <c r="H140" s="488">
        <f t="shared" si="42"/>
        <v>451239</v>
      </c>
      <c r="I140" s="542">
        <f t="shared" si="43"/>
        <v>451239</v>
      </c>
      <c r="J140" s="478">
        <f t="shared" si="49"/>
        <v>0</v>
      </c>
      <c r="K140" s="478"/>
      <c r="L140" s="487"/>
      <c r="M140" s="478">
        <f t="shared" si="46"/>
        <v>0</v>
      </c>
      <c r="N140" s="487"/>
      <c r="O140" s="478">
        <f t="shared" si="47"/>
        <v>0</v>
      </c>
      <c r="P140" s="478">
        <f t="shared" si="48"/>
        <v>0</v>
      </c>
    </row>
    <row r="141" spans="2:16">
      <c r="B141" s="160" t="str">
        <f t="shared" si="31"/>
        <v/>
      </c>
      <c r="C141" s="472">
        <f>IF(D93="","-",+C140+1)</f>
        <v>2050</v>
      </c>
      <c r="D141" s="346">
        <f>IF(F140+SUM(E$99:E140)=D$92,F140,D$92-SUM(E$99:E140))</f>
        <v>783680</v>
      </c>
      <c r="E141" s="486">
        <f>IF(+J96&lt;F140,J96,D141)</f>
        <v>347991</v>
      </c>
      <c r="F141" s="485">
        <f t="shared" si="44"/>
        <v>435689</v>
      </c>
      <c r="G141" s="485">
        <f t="shared" si="45"/>
        <v>609684.5</v>
      </c>
      <c r="H141" s="488">
        <f t="shared" si="42"/>
        <v>413722</v>
      </c>
      <c r="I141" s="542">
        <f t="shared" si="43"/>
        <v>413722</v>
      </c>
      <c r="J141" s="478">
        <f t="shared" si="49"/>
        <v>0</v>
      </c>
      <c r="K141" s="478"/>
      <c r="L141" s="487"/>
      <c r="M141" s="478">
        <f t="shared" si="46"/>
        <v>0</v>
      </c>
      <c r="N141" s="487"/>
      <c r="O141" s="478">
        <f t="shared" si="47"/>
        <v>0</v>
      </c>
      <c r="P141" s="478">
        <f t="shared" si="48"/>
        <v>0</v>
      </c>
    </row>
    <row r="142" spans="2:16">
      <c r="B142" s="160" t="str">
        <f t="shared" si="31"/>
        <v/>
      </c>
      <c r="C142" s="472">
        <f>IF(D93="","-",+C141+1)</f>
        <v>2051</v>
      </c>
      <c r="D142" s="346">
        <f>IF(F141+SUM(E$99:E141)=D$92,F141,D$92-SUM(E$99:E141))</f>
        <v>435689</v>
      </c>
      <c r="E142" s="486">
        <f>IF(+J96&lt;F141,J96,D142)</f>
        <v>347991</v>
      </c>
      <c r="F142" s="485">
        <f t="shared" si="44"/>
        <v>87698</v>
      </c>
      <c r="G142" s="485">
        <f t="shared" si="45"/>
        <v>261693.5</v>
      </c>
      <c r="H142" s="488">
        <f t="shared" si="42"/>
        <v>376205</v>
      </c>
      <c r="I142" s="542">
        <f t="shared" si="43"/>
        <v>376205</v>
      </c>
      <c r="J142" s="478">
        <f t="shared" si="49"/>
        <v>0</v>
      </c>
      <c r="K142" s="478"/>
      <c r="L142" s="487"/>
      <c r="M142" s="478">
        <f t="shared" si="46"/>
        <v>0</v>
      </c>
      <c r="N142" s="487"/>
      <c r="O142" s="478">
        <f t="shared" si="47"/>
        <v>0</v>
      </c>
      <c r="P142" s="478">
        <f t="shared" si="48"/>
        <v>0</v>
      </c>
    </row>
    <row r="143" spans="2:16">
      <c r="B143" s="160" t="str">
        <f t="shared" si="31"/>
        <v/>
      </c>
      <c r="C143" s="472">
        <f>IF(D93="","-",+C142+1)</f>
        <v>2052</v>
      </c>
      <c r="D143" s="346">
        <f>IF(F142+SUM(E$99:E142)=D$92,F142,D$92-SUM(E$99:E142))</f>
        <v>87698</v>
      </c>
      <c r="E143" s="486">
        <f>IF(+J96&lt;F142,J96,D143)</f>
        <v>87698</v>
      </c>
      <c r="F143" s="485">
        <f t="shared" si="44"/>
        <v>0</v>
      </c>
      <c r="G143" s="485">
        <f t="shared" si="45"/>
        <v>43849</v>
      </c>
      <c r="H143" s="488">
        <f t="shared" si="42"/>
        <v>92425</v>
      </c>
      <c r="I143" s="542">
        <f t="shared" si="43"/>
        <v>92425</v>
      </c>
      <c r="J143" s="478">
        <f t="shared" si="49"/>
        <v>0</v>
      </c>
      <c r="K143" s="478"/>
      <c r="L143" s="487"/>
      <c r="M143" s="478">
        <f t="shared" si="46"/>
        <v>0</v>
      </c>
      <c r="N143" s="487"/>
      <c r="O143" s="478">
        <f t="shared" si="47"/>
        <v>0</v>
      </c>
      <c r="P143" s="478">
        <f t="shared" si="48"/>
        <v>0</v>
      </c>
    </row>
    <row r="144" spans="2:16">
      <c r="B144" s="160" t="str">
        <f t="shared" si="31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4"/>
        <v>0</v>
      </c>
      <c r="G144" s="485">
        <f t="shared" si="45"/>
        <v>0</v>
      </c>
      <c r="H144" s="488">
        <f t="shared" si="42"/>
        <v>0</v>
      </c>
      <c r="I144" s="542">
        <f t="shared" si="43"/>
        <v>0</v>
      </c>
      <c r="J144" s="478">
        <f t="shared" si="49"/>
        <v>0</v>
      </c>
      <c r="K144" s="478"/>
      <c r="L144" s="487"/>
      <c r="M144" s="478">
        <f t="shared" si="46"/>
        <v>0</v>
      </c>
      <c r="N144" s="487"/>
      <c r="O144" s="478">
        <f t="shared" si="47"/>
        <v>0</v>
      </c>
      <c r="P144" s="478">
        <f t="shared" si="48"/>
        <v>0</v>
      </c>
    </row>
    <row r="145" spans="2:16">
      <c r="B145" s="160" t="str">
        <f t="shared" si="31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4"/>
        <v>0</v>
      </c>
      <c r="G145" s="485">
        <f t="shared" si="45"/>
        <v>0</v>
      </c>
      <c r="H145" s="488">
        <f t="shared" si="42"/>
        <v>0</v>
      </c>
      <c r="I145" s="542">
        <f t="shared" si="43"/>
        <v>0</v>
      </c>
      <c r="J145" s="478">
        <f t="shared" si="49"/>
        <v>0</v>
      </c>
      <c r="K145" s="478"/>
      <c r="L145" s="487"/>
      <c r="M145" s="478">
        <f t="shared" si="46"/>
        <v>0</v>
      </c>
      <c r="N145" s="487"/>
      <c r="O145" s="478">
        <f t="shared" si="47"/>
        <v>0</v>
      </c>
      <c r="P145" s="478">
        <f t="shared" si="48"/>
        <v>0</v>
      </c>
    </row>
    <row r="146" spans="2:16">
      <c r="B146" s="160" t="str">
        <f t="shared" si="31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4"/>
        <v>0</v>
      </c>
      <c r="G146" s="485">
        <f t="shared" si="45"/>
        <v>0</v>
      </c>
      <c r="H146" s="488">
        <f t="shared" si="42"/>
        <v>0</v>
      </c>
      <c r="I146" s="542">
        <f t="shared" si="43"/>
        <v>0</v>
      </c>
      <c r="J146" s="478">
        <f t="shared" si="49"/>
        <v>0</v>
      </c>
      <c r="K146" s="478"/>
      <c r="L146" s="487"/>
      <c r="M146" s="478">
        <f t="shared" si="46"/>
        <v>0</v>
      </c>
      <c r="N146" s="487"/>
      <c r="O146" s="478">
        <f t="shared" si="47"/>
        <v>0</v>
      </c>
      <c r="P146" s="478">
        <f t="shared" si="48"/>
        <v>0</v>
      </c>
    </row>
    <row r="147" spans="2:16">
      <c r="B147" s="160" t="str">
        <f t="shared" si="31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4"/>
        <v>0</v>
      </c>
      <c r="G147" s="485">
        <f t="shared" si="45"/>
        <v>0</v>
      </c>
      <c r="H147" s="488">
        <f t="shared" si="42"/>
        <v>0</v>
      </c>
      <c r="I147" s="542">
        <f t="shared" si="43"/>
        <v>0</v>
      </c>
      <c r="J147" s="478">
        <f t="shared" si="49"/>
        <v>0</v>
      </c>
      <c r="K147" s="478"/>
      <c r="L147" s="487"/>
      <c r="M147" s="478">
        <f t="shared" si="46"/>
        <v>0</v>
      </c>
      <c r="N147" s="487"/>
      <c r="O147" s="478">
        <f t="shared" si="47"/>
        <v>0</v>
      </c>
      <c r="P147" s="478">
        <f t="shared" si="48"/>
        <v>0</v>
      </c>
    </row>
    <row r="148" spans="2:16">
      <c r="B148" s="160" t="str">
        <f t="shared" si="31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4"/>
        <v>0</v>
      </c>
      <c r="G148" s="485">
        <f t="shared" si="45"/>
        <v>0</v>
      </c>
      <c r="H148" s="488">
        <f t="shared" si="42"/>
        <v>0</v>
      </c>
      <c r="I148" s="542">
        <f t="shared" si="43"/>
        <v>0</v>
      </c>
      <c r="J148" s="478">
        <f t="shared" si="49"/>
        <v>0</v>
      </c>
      <c r="K148" s="478"/>
      <c r="L148" s="487"/>
      <c r="M148" s="478">
        <f t="shared" si="46"/>
        <v>0</v>
      </c>
      <c r="N148" s="487"/>
      <c r="O148" s="478">
        <f t="shared" si="47"/>
        <v>0</v>
      </c>
      <c r="P148" s="478">
        <f t="shared" si="48"/>
        <v>0</v>
      </c>
    </row>
    <row r="149" spans="2:16">
      <c r="B149" s="160" t="str">
        <f t="shared" si="31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4"/>
        <v>0</v>
      </c>
      <c r="G149" s="485">
        <f t="shared" si="45"/>
        <v>0</v>
      </c>
      <c r="H149" s="488">
        <f t="shared" si="42"/>
        <v>0</v>
      </c>
      <c r="I149" s="542">
        <f t="shared" si="43"/>
        <v>0</v>
      </c>
      <c r="J149" s="478">
        <f t="shared" si="49"/>
        <v>0</v>
      </c>
      <c r="K149" s="478"/>
      <c r="L149" s="487"/>
      <c r="M149" s="478">
        <f t="shared" si="46"/>
        <v>0</v>
      </c>
      <c r="N149" s="487"/>
      <c r="O149" s="478">
        <f t="shared" si="47"/>
        <v>0</v>
      </c>
      <c r="P149" s="478">
        <f t="shared" si="48"/>
        <v>0</v>
      </c>
    </row>
    <row r="150" spans="2:16">
      <c r="B150" s="160" t="str">
        <f t="shared" si="31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4"/>
        <v>0</v>
      </c>
      <c r="G150" s="485">
        <f t="shared" si="45"/>
        <v>0</v>
      </c>
      <c r="H150" s="488">
        <f t="shared" si="42"/>
        <v>0</v>
      </c>
      <c r="I150" s="542">
        <f t="shared" si="43"/>
        <v>0</v>
      </c>
      <c r="J150" s="478">
        <f t="shared" si="49"/>
        <v>0</v>
      </c>
      <c r="K150" s="478"/>
      <c r="L150" s="487"/>
      <c r="M150" s="478">
        <f t="shared" si="46"/>
        <v>0</v>
      </c>
      <c r="N150" s="487"/>
      <c r="O150" s="478">
        <f t="shared" si="47"/>
        <v>0</v>
      </c>
      <c r="P150" s="478">
        <f t="shared" si="48"/>
        <v>0</v>
      </c>
    </row>
    <row r="151" spans="2:16">
      <c r="B151" s="160" t="str">
        <f t="shared" si="31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4"/>
        <v>0</v>
      </c>
      <c r="G151" s="485">
        <f t="shared" si="45"/>
        <v>0</v>
      </c>
      <c r="H151" s="488">
        <f t="shared" si="42"/>
        <v>0</v>
      </c>
      <c r="I151" s="542">
        <f t="shared" si="43"/>
        <v>0</v>
      </c>
      <c r="J151" s="478">
        <f t="shared" si="49"/>
        <v>0</v>
      </c>
      <c r="K151" s="478"/>
      <c r="L151" s="487"/>
      <c r="M151" s="478">
        <f t="shared" si="46"/>
        <v>0</v>
      </c>
      <c r="N151" s="487"/>
      <c r="O151" s="478">
        <f t="shared" si="47"/>
        <v>0</v>
      </c>
      <c r="P151" s="478">
        <f t="shared" si="48"/>
        <v>0</v>
      </c>
    </row>
    <row r="152" spans="2:16">
      <c r="B152" s="160" t="str">
        <f t="shared" si="31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4"/>
        <v>0</v>
      </c>
      <c r="G152" s="485">
        <f t="shared" si="45"/>
        <v>0</v>
      </c>
      <c r="H152" s="488">
        <f t="shared" si="42"/>
        <v>0</v>
      </c>
      <c r="I152" s="542">
        <f t="shared" si="43"/>
        <v>0</v>
      </c>
      <c r="J152" s="478">
        <f t="shared" si="49"/>
        <v>0</v>
      </c>
      <c r="K152" s="478"/>
      <c r="L152" s="487"/>
      <c r="M152" s="478">
        <f t="shared" si="46"/>
        <v>0</v>
      </c>
      <c r="N152" s="487"/>
      <c r="O152" s="478">
        <f t="shared" si="47"/>
        <v>0</v>
      </c>
      <c r="P152" s="478">
        <f t="shared" si="48"/>
        <v>0</v>
      </c>
    </row>
    <row r="153" spans="2:16">
      <c r="B153" s="160" t="str">
        <f t="shared" si="31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4"/>
        <v>0</v>
      </c>
      <c r="G153" s="485">
        <f t="shared" si="45"/>
        <v>0</v>
      </c>
      <c r="H153" s="488">
        <f t="shared" si="42"/>
        <v>0</v>
      </c>
      <c r="I153" s="542">
        <f t="shared" si="43"/>
        <v>0</v>
      </c>
      <c r="J153" s="478">
        <f t="shared" si="49"/>
        <v>0</v>
      </c>
      <c r="K153" s="478"/>
      <c r="L153" s="487"/>
      <c r="M153" s="478">
        <f t="shared" si="46"/>
        <v>0</v>
      </c>
      <c r="N153" s="487"/>
      <c r="O153" s="478">
        <f t="shared" si="47"/>
        <v>0</v>
      </c>
      <c r="P153" s="478">
        <f t="shared" si="48"/>
        <v>0</v>
      </c>
    </row>
    <row r="154" spans="2:16" ht="13.5" thickBot="1">
      <c r="B154" s="160" t="str">
        <f t="shared" si="31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4"/>
        <v>0</v>
      </c>
      <c r="G154" s="490">
        <f t="shared" si="45"/>
        <v>0</v>
      </c>
      <c r="H154" s="492">
        <f t="shared" si="42"/>
        <v>0</v>
      </c>
      <c r="I154" s="545">
        <f t="shared" si="43"/>
        <v>0</v>
      </c>
      <c r="J154" s="495">
        <f t="shared" si="49"/>
        <v>0</v>
      </c>
      <c r="K154" s="478"/>
      <c r="L154" s="494"/>
      <c r="M154" s="495">
        <f t="shared" si="46"/>
        <v>0</v>
      </c>
      <c r="N154" s="494"/>
      <c r="O154" s="495">
        <f t="shared" si="47"/>
        <v>0</v>
      </c>
      <c r="P154" s="495">
        <f t="shared" si="48"/>
        <v>0</v>
      </c>
    </row>
    <row r="155" spans="2:16">
      <c r="C155" s="346" t="s">
        <v>77</v>
      </c>
      <c r="D155" s="347"/>
      <c r="E155" s="347">
        <f>SUM(E99:E154)</f>
        <v>14615636</v>
      </c>
      <c r="F155" s="347"/>
      <c r="G155" s="347"/>
      <c r="H155" s="347">
        <f>SUM(H99:H154)</f>
        <v>54586503.621313199</v>
      </c>
      <c r="I155" s="347">
        <f>SUM(I99:I154)</f>
        <v>54586503.621313199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 t="s">
        <v>100</v>
      </c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96" t="s">
        <v>107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78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 t="s">
        <v>79</v>
      </c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60" priority="1" stopIfTrue="1" operator="equal">
      <formula>$I$10</formula>
    </cfRule>
  </conditionalFormatting>
  <conditionalFormatting sqref="C99:C154">
    <cfRule type="cellIs" dxfId="59" priority="2" stopIfTrue="1" operator="equal">
      <formula>$J$92</formula>
    </cfRule>
  </conditionalFormatting>
  <pageMargins left="0.5" right="0.25" top="1" bottom="0.25" header="0.25" footer="0.5"/>
  <pageSetup scale="47" fitToHeight="0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P162"/>
  <sheetViews>
    <sheetView view="pageBreakPreview" zoomScale="75" zoomScaleNormal="100" workbookViewId="0">
      <selection activeCell="E24" sqref="E24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5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36756.917403506392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36756.917403506392</v>
      </c>
      <c r="O6" s="232"/>
      <c r="P6" s="232"/>
    </row>
    <row r="7" spans="1:16" ht="13.5" thickBot="1">
      <c r="C7" s="431" t="s">
        <v>46</v>
      </c>
      <c r="D7" s="432" t="s">
        <v>206</v>
      </c>
      <c r="E7" s="329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83</v>
      </c>
      <c r="E9" s="577" t="s">
        <v>350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f>387742</f>
        <v>387742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2006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5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9231.9523809523816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2006</v>
      </c>
      <c r="D17" s="473">
        <v>387742</v>
      </c>
      <c r="E17" s="474">
        <v>3877</v>
      </c>
      <c r="F17" s="473">
        <v>383865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/>
      <c r="C18" s="472">
        <f>IF(D11="","-",+C17+1)</f>
        <v>2007</v>
      </c>
      <c r="D18" s="479">
        <v>383865</v>
      </c>
      <c r="E18" s="480">
        <v>7755</v>
      </c>
      <c r="F18" s="479">
        <v>376110</v>
      </c>
      <c r="G18" s="479">
        <v>59847</v>
      </c>
      <c r="H18" s="479">
        <v>59847</v>
      </c>
      <c r="I18" s="475">
        <f t="shared" si="0"/>
        <v>0</v>
      </c>
      <c r="J18" s="475"/>
      <c r="K18" s="476">
        <v>59847</v>
      </c>
      <c r="L18" s="478">
        <f t="shared" si="1"/>
        <v>0</v>
      </c>
      <c r="M18" s="476">
        <v>59847</v>
      </c>
      <c r="N18" s="478">
        <f t="shared" si="2"/>
        <v>0</v>
      </c>
      <c r="O18" s="478">
        <f t="shared" si="3"/>
        <v>0</v>
      </c>
      <c r="P18" s="242"/>
    </row>
    <row r="19" spans="2:16">
      <c r="B19" s="160"/>
      <c r="C19" s="472">
        <f>IF(D11="","-",+C18+1)</f>
        <v>2008</v>
      </c>
      <c r="D19" s="479">
        <v>376557</v>
      </c>
      <c r="E19" s="561">
        <v>7457</v>
      </c>
      <c r="F19" s="479">
        <v>369100</v>
      </c>
      <c r="G19" s="479">
        <v>62208</v>
      </c>
      <c r="H19" s="479">
        <v>62208</v>
      </c>
      <c r="I19" s="475">
        <f t="shared" si="0"/>
        <v>0</v>
      </c>
      <c r="J19" s="475"/>
      <c r="K19" s="476">
        <v>62208</v>
      </c>
      <c r="L19" s="478">
        <f t="shared" si="1"/>
        <v>0</v>
      </c>
      <c r="M19" s="476">
        <v>62208</v>
      </c>
      <c r="N19" s="478">
        <f t="shared" si="2"/>
        <v>0</v>
      </c>
      <c r="O19" s="478">
        <f t="shared" si="3"/>
        <v>0</v>
      </c>
      <c r="P19" s="242"/>
    </row>
    <row r="20" spans="2:16">
      <c r="B20" s="160"/>
      <c r="C20" s="472">
        <f>IF(D11="","-",+C19+1)</f>
        <v>2009</v>
      </c>
      <c r="D20" s="479">
        <v>368843</v>
      </c>
      <c r="E20" s="561">
        <v>7316</v>
      </c>
      <c r="F20" s="479">
        <v>361527</v>
      </c>
      <c r="G20" s="479">
        <v>62704</v>
      </c>
      <c r="H20" s="479">
        <v>62704</v>
      </c>
      <c r="I20" s="475">
        <f t="shared" si="0"/>
        <v>0</v>
      </c>
      <c r="J20" s="475"/>
      <c r="K20" s="476">
        <v>62704</v>
      </c>
      <c r="L20" s="478">
        <f t="shared" si="1"/>
        <v>0</v>
      </c>
      <c r="M20" s="476">
        <v>62704</v>
      </c>
      <c r="N20" s="478">
        <f t="shared" si="2"/>
        <v>0</v>
      </c>
      <c r="O20" s="478">
        <f t="shared" si="3"/>
        <v>0</v>
      </c>
      <c r="P20" s="242"/>
    </row>
    <row r="21" spans="2:16">
      <c r="B21" s="160"/>
      <c r="C21" s="472">
        <f>IF(D12="","-",+C20+1)</f>
        <v>2010</v>
      </c>
      <c r="D21" s="479">
        <v>361337</v>
      </c>
      <c r="E21" s="480">
        <v>6923.9642857142853</v>
      </c>
      <c r="F21" s="479">
        <v>354413.03571428574</v>
      </c>
      <c r="G21" s="480">
        <v>58064.529944767884</v>
      </c>
      <c r="H21" s="481">
        <v>58064.529944767884</v>
      </c>
      <c r="I21" s="475">
        <f t="shared" si="0"/>
        <v>0</v>
      </c>
      <c r="J21" s="475"/>
      <c r="K21" s="540">
        <f t="shared" ref="K21:K26" si="4">G21</f>
        <v>58064.529944767884</v>
      </c>
      <c r="L21" s="478">
        <f t="shared" si="1"/>
        <v>0</v>
      </c>
      <c r="M21" s="540">
        <f t="shared" ref="M21:M26" si="5">H21</f>
        <v>58064.529944767884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ref="B22:B72" si="6">IF(D22=F21,"","IU")</f>
        <v/>
      </c>
      <c r="C22" s="472">
        <f>IF(D11="","-",+C21+1)</f>
        <v>2011</v>
      </c>
      <c r="D22" s="479">
        <v>354413.03571428574</v>
      </c>
      <c r="E22" s="480">
        <v>7602.7843137254904</v>
      </c>
      <c r="F22" s="479">
        <v>346810.25140056026</v>
      </c>
      <c r="G22" s="480">
        <v>61893.620096156621</v>
      </c>
      <c r="H22" s="481">
        <v>61893.620096156621</v>
      </c>
      <c r="I22" s="475">
        <f t="shared" si="0"/>
        <v>0</v>
      </c>
      <c r="J22" s="475"/>
      <c r="K22" s="476">
        <f t="shared" si="4"/>
        <v>61893.620096156621</v>
      </c>
      <c r="L22" s="550">
        <f t="shared" si="1"/>
        <v>0</v>
      </c>
      <c r="M22" s="476">
        <f t="shared" si="5"/>
        <v>61893.620096156621</v>
      </c>
      <c r="N22" s="478">
        <f t="shared" si="2"/>
        <v>0</v>
      </c>
      <c r="O22" s="478">
        <f t="shared" si="3"/>
        <v>0</v>
      </c>
      <c r="P22" s="242"/>
    </row>
    <row r="23" spans="2:16">
      <c r="B23" s="160" t="str">
        <f t="shared" si="6"/>
        <v/>
      </c>
      <c r="C23" s="472">
        <f>IF(D11="","-",+C22+1)</f>
        <v>2012</v>
      </c>
      <c r="D23" s="479">
        <v>346810.25140056026</v>
      </c>
      <c r="E23" s="480">
        <v>7456.5769230769229</v>
      </c>
      <c r="F23" s="479">
        <v>339353.67447748332</v>
      </c>
      <c r="G23" s="480">
        <v>54696.893588724874</v>
      </c>
      <c r="H23" s="481">
        <v>54696.893588724874</v>
      </c>
      <c r="I23" s="475">
        <f t="shared" si="0"/>
        <v>0</v>
      </c>
      <c r="J23" s="475"/>
      <c r="K23" s="476">
        <f t="shared" si="4"/>
        <v>54696.893588724874</v>
      </c>
      <c r="L23" s="550">
        <f t="shared" si="1"/>
        <v>0</v>
      </c>
      <c r="M23" s="476">
        <f t="shared" si="5"/>
        <v>54696.893588724874</v>
      </c>
      <c r="N23" s="478">
        <f t="shared" si="2"/>
        <v>0</v>
      </c>
      <c r="O23" s="478">
        <f t="shared" si="3"/>
        <v>0</v>
      </c>
      <c r="P23" s="242"/>
    </row>
    <row r="24" spans="2:16">
      <c r="B24" s="160" t="str">
        <f t="shared" si="6"/>
        <v/>
      </c>
      <c r="C24" s="472">
        <f>IF(D11="","-",+C23+1)</f>
        <v>2013</v>
      </c>
      <c r="D24" s="479">
        <v>339353.67447748332</v>
      </c>
      <c r="E24" s="480">
        <v>7456.5769230769229</v>
      </c>
      <c r="F24" s="479">
        <v>331897.09755440638</v>
      </c>
      <c r="G24" s="480">
        <v>54853.72619811543</v>
      </c>
      <c r="H24" s="481">
        <v>54853.72619811543</v>
      </c>
      <c r="I24" s="475">
        <v>0</v>
      </c>
      <c r="J24" s="475"/>
      <c r="K24" s="476">
        <f t="shared" si="4"/>
        <v>54853.72619811543</v>
      </c>
      <c r="L24" s="550">
        <f t="shared" ref="L24:L29" si="7">IF(K24&lt;&gt;0,+G24-K24,0)</f>
        <v>0</v>
      </c>
      <c r="M24" s="476">
        <f t="shared" si="5"/>
        <v>54853.72619811543</v>
      </c>
      <c r="N24" s="478">
        <f t="shared" ref="N24:N29" si="8">IF(M24&lt;&gt;0,+H24-M24,0)</f>
        <v>0</v>
      </c>
      <c r="O24" s="478">
        <f t="shared" ref="O24:O29" si="9">+N24-L24</f>
        <v>0</v>
      </c>
      <c r="P24" s="242"/>
    </row>
    <row r="25" spans="2:16">
      <c r="B25" s="160" t="str">
        <f t="shared" si="6"/>
        <v/>
      </c>
      <c r="C25" s="472">
        <f>IF(D11="","-",+C24+1)</f>
        <v>2014</v>
      </c>
      <c r="D25" s="479">
        <v>331897.09755440638</v>
      </c>
      <c r="E25" s="480">
        <v>7456.5769230769229</v>
      </c>
      <c r="F25" s="479">
        <v>324440.52063132945</v>
      </c>
      <c r="G25" s="480">
        <v>52118.659182147123</v>
      </c>
      <c r="H25" s="481">
        <v>52118.659182147123</v>
      </c>
      <c r="I25" s="475">
        <v>0</v>
      </c>
      <c r="J25" s="475"/>
      <c r="K25" s="476">
        <f t="shared" si="4"/>
        <v>52118.659182147123</v>
      </c>
      <c r="L25" s="550">
        <f t="shared" si="7"/>
        <v>0</v>
      </c>
      <c r="M25" s="476">
        <f t="shared" si="5"/>
        <v>52118.659182147123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2015</v>
      </c>
      <c r="D26" s="479">
        <v>324440.52063132945</v>
      </c>
      <c r="E26" s="480">
        <v>7456.5769230769229</v>
      </c>
      <c r="F26" s="479">
        <v>316983.94370825251</v>
      </c>
      <c r="G26" s="480">
        <v>51159.678410482353</v>
      </c>
      <c r="H26" s="481">
        <v>51159.678410482353</v>
      </c>
      <c r="I26" s="475">
        <v>0</v>
      </c>
      <c r="J26" s="475"/>
      <c r="K26" s="476">
        <f t="shared" si="4"/>
        <v>51159.678410482353</v>
      </c>
      <c r="L26" s="550">
        <f t="shared" si="7"/>
        <v>0</v>
      </c>
      <c r="M26" s="476">
        <f t="shared" si="5"/>
        <v>51159.678410482353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2016</v>
      </c>
      <c r="D27" s="479">
        <v>316983.94370825251</v>
      </c>
      <c r="E27" s="480">
        <v>7456.5769230769229</v>
      </c>
      <c r="F27" s="479">
        <v>309527.36678517557</v>
      </c>
      <c r="G27" s="480">
        <v>48054.073071867475</v>
      </c>
      <c r="H27" s="481">
        <v>48054.073071867475</v>
      </c>
      <c r="I27" s="475">
        <f t="shared" si="0"/>
        <v>0</v>
      </c>
      <c r="J27" s="475"/>
      <c r="K27" s="476">
        <f t="shared" ref="K27:K32" si="10">G27</f>
        <v>48054.073071867475</v>
      </c>
      <c r="L27" s="550">
        <f t="shared" si="7"/>
        <v>0</v>
      </c>
      <c r="M27" s="476">
        <f t="shared" ref="M27:M32" si="11">H27</f>
        <v>48054.073071867475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6"/>
        <v/>
      </c>
      <c r="C28" s="472">
        <f>IF(D11="","-",+C27+1)</f>
        <v>2017</v>
      </c>
      <c r="D28" s="479">
        <v>309527.36678517557</v>
      </c>
      <c r="E28" s="480">
        <v>8429.173913043478</v>
      </c>
      <c r="F28" s="479">
        <v>301098.19287213212</v>
      </c>
      <c r="G28" s="480">
        <v>46747.12706959022</v>
      </c>
      <c r="H28" s="481">
        <v>46747.12706959022</v>
      </c>
      <c r="I28" s="475">
        <f t="shared" si="0"/>
        <v>0</v>
      </c>
      <c r="J28" s="475"/>
      <c r="K28" s="476">
        <f t="shared" si="10"/>
        <v>46747.12706959022</v>
      </c>
      <c r="L28" s="550">
        <f t="shared" si="7"/>
        <v>0</v>
      </c>
      <c r="M28" s="476">
        <f t="shared" si="11"/>
        <v>46747.12706959022</v>
      </c>
      <c r="N28" s="478">
        <f t="shared" si="8"/>
        <v>0</v>
      </c>
      <c r="O28" s="478">
        <f t="shared" si="9"/>
        <v>0</v>
      </c>
      <c r="P28" s="242"/>
    </row>
    <row r="29" spans="2:16">
      <c r="B29" s="160" t="str">
        <f t="shared" si="6"/>
        <v/>
      </c>
      <c r="C29" s="472">
        <f>IF(D11="","-",+C28+1)</f>
        <v>2018</v>
      </c>
      <c r="D29" s="479">
        <v>301098.19287213212</v>
      </c>
      <c r="E29" s="480">
        <v>8616.4888888888891</v>
      </c>
      <c r="F29" s="479">
        <v>292481.70398324321</v>
      </c>
      <c r="G29" s="480">
        <v>44159.738725302646</v>
      </c>
      <c r="H29" s="481">
        <v>44159.738725302646</v>
      </c>
      <c r="I29" s="475">
        <f t="shared" si="0"/>
        <v>0</v>
      </c>
      <c r="J29" s="475"/>
      <c r="K29" s="476">
        <f t="shared" si="10"/>
        <v>44159.738725302646</v>
      </c>
      <c r="L29" s="550">
        <f t="shared" si="7"/>
        <v>0</v>
      </c>
      <c r="M29" s="476">
        <f t="shared" si="11"/>
        <v>44159.738725302646</v>
      </c>
      <c r="N29" s="478">
        <f t="shared" si="8"/>
        <v>0</v>
      </c>
      <c r="O29" s="478">
        <f t="shared" si="9"/>
        <v>0</v>
      </c>
      <c r="P29" s="242"/>
    </row>
    <row r="30" spans="2:16">
      <c r="B30" s="160" t="str">
        <f t="shared" si="6"/>
        <v/>
      </c>
      <c r="C30" s="472">
        <f>IF(D11="","-",+C29+1)</f>
        <v>2019</v>
      </c>
      <c r="D30" s="479">
        <v>292481.70398324321</v>
      </c>
      <c r="E30" s="480">
        <v>9693.5499999999993</v>
      </c>
      <c r="F30" s="479">
        <v>282788.15398324322</v>
      </c>
      <c r="G30" s="480">
        <v>41809.897213779383</v>
      </c>
      <c r="H30" s="481">
        <v>41809.897213779383</v>
      </c>
      <c r="I30" s="475">
        <f t="shared" si="0"/>
        <v>0</v>
      </c>
      <c r="J30" s="475"/>
      <c r="K30" s="476">
        <f t="shared" si="10"/>
        <v>41809.897213779383</v>
      </c>
      <c r="L30" s="550">
        <f t="shared" ref="L30" si="12">IF(K30&lt;&gt;0,+G30-K30,0)</f>
        <v>0</v>
      </c>
      <c r="M30" s="476">
        <f t="shared" si="11"/>
        <v>41809.897213779383</v>
      </c>
      <c r="N30" s="478">
        <f t="shared" ref="N30" si="13">IF(M30&lt;&gt;0,+H30-M30,0)</f>
        <v>0</v>
      </c>
      <c r="O30" s="478">
        <f t="shared" ref="O30" si="14">+N30-L30</f>
        <v>0</v>
      </c>
      <c r="P30" s="242"/>
    </row>
    <row r="31" spans="2:16">
      <c r="B31" s="160" t="str">
        <f t="shared" si="6"/>
        <v>IU</v>
      </c>
      <c r="C31" s="472">
        <f>IF(D11="","-",+C30+1)</f>
        <v>2020</v>
      </c>
      <c r="D31" s="479">
        <v>283865.21509435429</v>
      </c>
      <c r="E31" s="480">
        <v>9231.9523809523816</v>
      </c>
      <c r="F31" s="479">
        <v>274633.26271340193</v>
      </c>
      <c r="G31" s="480">
        <v>39392.204131039958</v>
      </c>
      <c r="H31" s="481">
        <v>39392.204131039958</v>
      </c>
      <c r="I31" s="475">
        <f t="shared" si="0"/>
        <v>0</v>
      </c>
      <c r="J31" s="475"/>
      <c r="K31" s="476">
        <f t="shared" si="10"/>
        <v>39392.204131039958</v>
      </c>
      <c r="L31" s="550">
        <f t="shared" ref="L31" si="15">IF(K31&lt;&gt;0,+G31-K31,0)</f>
        <v>0</v>
      </c>
      <c r="M31" s="476">
        <f t="shared" si="11"/>
        <v>39392.204131039958</v>
      </c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>IU</v>
      </c>
      <c r="C32" s="472">
        <f>IF(D11="","-",+C31+1)</f>
        <v>2021</v>
      </c>
      <c r="D32" s="479">
        <v>273556.20160229085</v>
      </c>
      <c r="E32" s="480">
        <v>9017.2558139534885</v>
      </c>
      <c r="F32" s="479">
        <v>264538.94578833738</v>
      </c>
      <c r="G32" s="480">
        <v>37540.281940264002</v>
      </c>
      <c r="H32" s="481">
        <v>37540.281940264002</v>
      </c>
      <c r="I32" s="475">
        <f t="shared" si="0"/>
        <v>0</v>
      </c>
      <c r="J32" s="475"/>
      <c r="K32" s="476">
        <f t="shared" si="10"/>
        <v>37540.281940264002</v>
      </c>
      <c r="L32" s="550">
        <f t="shared" ref="L32" si="16">IF(K32&lt;&gt;0,+G32-K32,0)</f>
        <v>0</v>
      </c>
      <c r="M32" s="476">
        <f t="shared" si="11"/>
        <v>37540.281940264002</v>
      </c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2022</v>
      </c>
      <c r="D33" s="485">
        <f>IF(F32+SUM(E$17:E32)=D$10,F32,D$10-SUM(E$17:E32))</f>
        <v>264538.94578833738</v>
      </c>
      <c r="E33" s="484">
        <f>IF(+I14&lt;F32,I14,D33)</f>
        <v>9231.9523809523816</v>
      </c>
      <c r="F33" s="485">
        <f t="shared" ref="F33:F72" si="17">+D33-E33</f>
        <v>255306.99340738502</v>
      </c>
      <c r="G33" s="486">
        <f t="shared" ref="G33:G72" si="18">+I$12*F33+E33</f>
        <v>36756.917403506392</v>
      </c>
      <c r="H33" s="455">
        <f t="shared" ref="H33:H72" si="19">+I$13*F33+E33</f>
        <v>36756.917403506392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2023</v>
      </c>
      <c r="D34" s="485">
        <f>IF(F33+SUM(E$17:E33)=D$10,F33,D$10-SUM(E$17:E33))</f>
        <v>255306.99340738502</v>
      </c>
      <c r="E34" s="484">
        <f>IF(+I14&lt;F33,I14,D34)</f>
        <v>9231.9523809523816</v>
      </c>
      <c r="F34" s="485">
        <f t="shared" si="17"/>
        <v>246075.04102643265</v>
      </c>
      <c r="G34" s="486">
        <f t="shared" si="18"/>
        <v>35761.609116082691</v>
      </c>
      <c r="H34" s="455">
        <f t="shared" si="19"/>
        <v>35761.609116082691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2024</v>
      </c>
      <c r="D35" s="485">
        <f>IF(F34+SUM(E$17:E34)=D$10,F34,D$10-SUM(E$17:E34))</f>
        <v>246075.04102643265</v>
      </c>
      <c r="E35" s="484">
        <f>IF(+I14&lt;F34,I14,D35)</f>
        <v>9231.9523809523816</v>
      </c>
      <c r="F35" s="485">
        <f t="shared" si="17"/>
        <v>236843.08864548028</v>
      </c>
      <c r="G35" s="486">
        <f t="shared" si="18"/>
        <v>34766.30082865899</v>
      </c>
      <c r="H35" s="455">
        <f t="shared" si="19"/>
        <v>34766.30082865899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2025</v>
      </c>
      <c r="D36" s="485">
        <f>IF(F35+SUM(E$17:E35)=D$10,F35,D$10-SUM(E$17:E35))</f>
        <v>236843.08864548028</v>
      </c>
      <c r="E36" s="484">
        <f>IF(+I14&lt;F35,I14,D36)</f>
        <v>9231.9523809523816</v>
      </c>
      <c r="F36" s="485">
        <f t="shared" si="17"/>
        <v>227611.13626452792</v>
      </c>
      <c r="G36" s="486">
        <f t="shared" si="18"/>
        <v>33770.99254123529</v>
      </c>
      <c r="H36" s="455">
        <f t="shared" si="19"/>
        <v>33770.99254123529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2026</v>
      </c>
      <c r="D37" s="485">
        <f>IF(F36+SUM(E$17:E36)=D$10,F36,D$10-SUM(E$17:E36))</f>
        <v>227611.13626452792</v>
      </c>
      <c r="E37" s="484">
        <f>IF(+I14&lt;F36,I14,D37)</f>
        <v>9231.9523809523816</v>
      </c>
      <c r="F37" s="485">
        <f t="shared" si="17"/>
        <v>218379.18388357555</v>
      </c>
      <c r="G37" s="486">
        <f t="shared" si="18"/>
        <v>32775.684253811589</v>
      </c>
      <c r="H37" s="455">
        <f t="shared" si="19"/>
        <v>32775.684253811589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2027</v>
      </c>
      <c r="D38" s="485">
        <f>IF(F37+SUM(E$17:E37)=D$10,F37,D$10-SUM(E$17:E37))</f>
        <v>218379.18388357555</v>
      </c>
      <c r="E38" s="484">
        <f>IF(+I14&lt;F37,I14,D38)</f>
        <v>9231.9523809523816</v>
      </c>
      <c r="F38" s="485">
        <f t="shared" si="17"/>
        <v>209147.23150262318</v>
      </c>
      <c r="G38" s="486">
        <f t="shared" si="18"/>
        <v>31780.375966387892</v>
      </c>
      <c r="H38" s="455">
        <f t="shared" si="19"/>
        <v>31780.375966387892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2028</v>
      </c>
      <c r="D39" s="485">
        <f>IF(F38+SUM(E$17:E38)=D$10,F38,D$10-SUM(E$17:E38))</f>
        <v>209147.23150262318</v>
      </c>
      <c r="E39" s="484">
        <f>IF(+I14&lt;F38,I14,D39)</f>
        <v>9231.9523809523816</v>
      </c>
      <c r="F39" s="485">
        <f t="shared" si="17"/>
        <v>199915.27912167081</v>
      </c>
      <c r="G39" s="486">
        <f t="shared" si="18"/>
        <v>30785.067678964191</v>
      </c>
      <c r="H39" s="455">
        <f t="shared" si="19"/>
        <v>30785.067678964191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2029</v>
      </c>
      <c r="D40" s="485">
        <f>IF(F39+SUM(E$17:E39)=D$10,F39,D$10-SUM(E$17:E39))</f>
        <v>199915.27912167081</v>
      </c>
      <c r="E40" s="484">
        <f>IF(+I14&lt;F39,I14,D40)</f>
        <v>9231.9523809523816</v>
      </c>
      <c r="F40" s="485">
        <f t="shared" si="17"/>
        <v>190683.32674071845</v>
      </c>
      <c r="G40" s="486">
        <f t="shared" si="18"/>
        <v>29789.759391540494</v>
      </c>
      <c r="H40" s="455">
        <f t="shared" si="19"/>
        <v>29789.759391540494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2030</v>
      </c>
      <c r="D41" s="485">
        <f>IF(F40+SUM(E$17:E40)=D$10,F40,D$10-SUM(E$17:E40))</f>
        <v>190683.32674071845</v>
      </c>
      <c r="E41" s="484">
        <f>IF(+I14&lt;F40,I14,D41)</f>
        <v>9231.9523809523816</v>
      </c>
      <c r="F41" s="485">
        <f t="shared" si="17"/>
        <v>181451.37435976608</v>
      </c>
      <c r="G41" s="486">
        <f t="shared" si="18"/>
        <v>28794.451104116793</v>
      </c>
      <c r="H41" s="455">
        <f t="shared" si="19"/>
        <v>28794.451104116793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2031</v>
      </c>
      <c r="D42" s="485">
        <f>IF(F41+SUM(E$17:E41)=D$10,F41,D$10-SUM(E$17:E41))</f>
        <v>181451.37435976608</v>
      </c>
      <c r="E42" s="484">
        <f>IF(+I14&lt;F41,I14,D42)</f>
        <v>9231.9523809523816</v>
      </c>
      <c r="F42" s="485">
        <f t="shared" si="17"/>
        <v>172219.42197881371</v>
      </c>
      <c r="G42" s="486">
        <f t="shared" si="18"/>
        <v>27799.142816693093</v>
      </c>
      <c r="H42" s="455">
        <f t="shared" si="19"/>
        <v>27799.142816693093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2032</v>
      </c>
      <c r="D43" s="485">
        <f>IF(F42+SUM(E$17:E42)=D$10,F42,D$10-SUM(E$17:E42))</f>
        <v>172219.42197881371</v>
      </c>
      <c r="E43" s="484">
        <f>IF(+I14&lt;F42,I14,D43)</f>
        <v>9231.9523809523816</v>
      </c>
      <c r="F43" s="485">
        <f t="shared" si="17"/>
        <v>162987.46959786135</v>
      </c>
      <c r="G43" s="486">
        <f t="shared" si="18"/>
        <v>26803.834529269396</v>
      </c>
      <c r="H43" s="455">
        <f t="shared" si="19"/>
        <v>26803.834529269396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2033</v>
      </c>
      <c r="D44" s="485">
        <f>IF(F43+SUM(E$17:E43)=D$10,F43,D$10-SUM(E$17:E43))</f>
        <v>162987.46959786135</v>
      </c>
      <c r="E44" s="484">
        <f>IF(+I14&lt;F43,I14,D44)</f>
        <v>9231.9523809523816</v>
      </c>
      <c r="F44" s="485">
        <f t="shared" si="17"/>
        <v>153755.51721690898</v>
      </c>
      <c r="G44" s="486">
        <f t="shared" si="18"/>
        <v>25808.526241845695</v>
      </c>
      <c r="H44" s="455">
        <f t="shared" si="19"/>
        <v>25808.526241845695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2034</v>
      </c>
      <c r="D45" s="485">
        <f>IF(F44+SUM(E$17:E44)=D$10,F44,D$10-SUM(E$17:E44))</f>
        <v>153755.51721690898</v>
      </c>
      <c r="E45" s="484">
        <f>IF(+I14&lt;F44,I14,D45)</f>
        <v>9231.9523809523816</v>
      </c>
      <c r="F45" s="485">
        <f t="shared" si="17"/>
        <v>144523.56483595661</v>
      </c>
      <c r="G45" s="486">
        <f t="shared" si="18"/>
        <v>24813.217954421998</v>
      </c>
      <c r="H45" s="455">
        <f t="shared" si="19"/>
        <v>24813.217954421998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2035</v>
      </c>
      <c r="D46" s="485">
        <f>IF(F45+SUM(E$17:E45)=D$10,F45,D$10-SUM(E$17:E45))</f>
        <v>144523.56483595661</v>
      </c>
      <c r="E46" s="484">
        <f>IF(+I14&lt;F45,I14,D46)</f>
        <v>9231.9523809523816</v>
      </c>
      <c r="F46" s="485">
        <f t="shared" si="17"/>
        <v>135291.61245500424</v>
      </c>
      <c r="G46" s="486">
        <f t="shared" si="18"/>
        <v>23817.909666998297</v>
      </c>
      <c r="H46" s="455">
        <f t="shared" si="19"/>
        <v>23817.909666998297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2036</v>
      </c>
      <c r="D47" s="485">
        <f>IF(F46+SUM(E$17:E46)=D$10,F46,D$10-SUM(E$17:E46))</f>
        <v>135291.61245500424</v>
      </c>
      <c r="E47" s="484">
        <f>IF(+I14&lt;F46,I14,D47)</f>
        <v>9231.9523809523816</v>
      </c>
      <c r="F47" s="485">
        <f t="shared" si="17"/>
        <v>126059.66007405186</v>
      </c>
      <c r="G47" s="486">
        <f t="shared" si="18"/>
        <v>22822.601379574597</v>
      </c>
      <c r="H47" s="455">
        <f t="shared" si="19"/>
        <v>22822.601379574597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2037</v>
      </c>
      <c r="D48" s="485">
        <f>IF(F47+SUM(E$17:E47)=D$10,F47,D$10-SUM(E$17:E47))</f>
        <v>126059.66007405186</v>
      </c>
      <c r="E48" s="484">
        <f>IF(+I14&lt;F47,I14,D48)</f>
        <v>9231.9523809523816</v>
      </c>
      <c r="F48" s="485">
        <f t="shared" si="17"/>
        <v>116827.70769309948</v>
      </c>
      <c r="G48" s="486">
        <f t="shared" si="18"/>
        <v>21827.293092150896</v>
      </c>
      <c r="H48" s="455">
        <f t="shared" si="19"/>
        <v>21827.293092150896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2038</v>
      </c>
      <c r="D49" s="485">
        <f>IF(F48+SUM(E$17:E48)=D$10,F48,D$10-SUM(E$17:E48))</f>
        <v>116827.70769309948</v>
      </c>
      <c r="E49" s="484">
        <f>IF(+I14&lt;F48,I14,D49)</f>
        <v>9231.9523809523816</v>
      </c>
      <c r="F49" s="485">
        <f t="shared" si="17"/>
        <v>107595.7553121471</v>
      </c>
      <c r="G49" s="486">
        <f t="shared" si="18"/>
        <v>20831.984804727195</v>
      </c>
      <c r="H49" s="455">
        <f t="shared" si="19"/>
        <v>20831.984804727195</v>
      </c>
      <c r="I49" s="475">
        <f t="shared" ref="I49:I72" si="20">H49-G49</f>
        <v>0</v>
      </c>
      <c r="J49" s="475"/>
      <c r="K49" s="487"/>
      <c r="L49" s="478">
        <f t="shared" ref="L49:L72" si="21">IF(K49&lt;&gt;0,+G49-K49,0)</f>
        <v>0</v>
      </c>
      <c r="M49" s="487"/>
      <c r="N49" s="478">
        <f t="shared" ref="N49:N72" si="22">IF(M49&lt;&gt;0,+H49-M49,0)</f>
        <v>0</v>
      </c>
      <c r="O49" s="478">
        <f t="shared" ref="O49:O72" si="23">+N49-L49</f>
        <v>0</v>
      </c>
      <c r="P49" s="242"/>
    </row>
    <row r="50" spans="2:16">
      <c r="B50" s="160" t="str">
        <f t="shared" si="6"/>
        <v/>
      </c>
      <c r="C50" s="472">
        <f>IF(D11="","-",+C49+1)</f>
        <v>2039</v>
      </c>
      <c r="D50" s="485">
        <f>IF(F49+SUM(E$17:E49)=D$10,F49,D$10-SUM(E$17:E49))</f>
        <v>107595.7553121471</v>
      </c>
      <c r="E50" s="484">
        <f>IF(+I14&lt;F49,I14,D50)</f>
        <v>9231.9523809523816</v>
      </c>
      <c r="F50" s="485">
        <f t="shared" si="17"/>
        <v>98363.802931194718</v>
      </c>
      <c r="G50" s="486">
        <f t="shared" si="18"/>
        <v>19836.676517303495</v>
      </c>
      <c r="H50" s="455">
        <f t="shared" si="19"/>
        <v>19836.676517303495</v>
      </c>
      <c r="I50" s="475">
        <f t="shared" si="20"/>
        <v>0</v>
      </c>
      <c r="J50" s="475"/>
      <c r="K50" s="487"/>
      <c r="L50" s="478">
        <f t="shared" si="21"/>
        <v>0</v>
      </c>
      <c r="M50" s="487"/>
      <c r="N50" s="478">
        <f t="shared" si="22"/>
        <v>0</v>
      </c>
      <c r="O50" s="478">
        <f t="shared" si="23"/>
        <v>0</v>
      </c>
      <c r="P50" s="242"/>
    </row>
    <row r="51" spans="2:16">
      <c r="B51" s="160" t="str">
        <f t="shared" si="6"/>
        <v/>
      </c>
      <c r="C51" s="472">
        <f>IF(D11="","-",+C50+1)</f>
        <v>2040</v>
      </c>
      <c r="D51" s="485">
        <f>IF(F50+SUM(E$17:E50)=D$10,F50,D$10-SUM(E$17:E50))</f>
        <v>98363.802931194718</v>
      </c>
      <c r="E51" s="484">
        <f>IF(+I14&lt;F50,I14,D51)</f>
        <v>9231.9523809523816</v>
      </c>
      <c r="F51" s="485">
        <f t="shared" si="17"/>
        <v>89131.850550242336</v>
      </c>
      <c r="G51" s="486">
        <f t="shared" si="18"/>
        <v>18841.368229879794</v>
      </c>
      <c r="H51" s="455">
        <f t="shared" si="19"/>
        <v>18841.368229879794</v>
      </c>
      <c r="I51" s="475">
        <f t="shared" si="20"/>
        <v>0</v>
      </c>
      <c r="J51" s="475"/>
      <c r="K51" s="487"/>
      <c r="L51" s="478">
        <f t="shared" si="21"/>
        <v>0</v>
      </c>
      <c r="M51" s="487"/>
      <c r="N51" s="478">
        <f t="shared" si="22"/>
        <v>0</v>
      </c>
      <c r="O51" s="478">
        <f t="shared" si="23"/>
        <v>0</v>
      </c>
      <c r="P51" s="242"/>
    </row>
    <row r="52" spans="2:16">
      <c r="B52" s="160" t="str">
        <f t="shared" si="6"/>
        <v/>
      </c>
      <c r="C52" s="472">
        <f>IF(D11="","-",+C51+1)</f>
        <v>2041</v>
      </c>
      <c r="D52" s="485">
        <f>IF(F51+SUM(E$17:E51)=D$10,F51,D$10-SUM(E$17:E51))</f>
        <v>89131.850550242336</v>
      </c>
      <c r="E52" s="484">
        <f>IF(+I14&lt;F51,I14,D52)</f>
        <v>9231.9523809523816</v>
      </c>
      <c r="F52" s="485">
        <f t="shared" si="17"/>
        <v>79899.898169289954</v>
      </c>
      <c r="G52" s="486">
        <f t="shared" si="18"/>
        <v>17846.059942456093</v>
      </c>
      <c r="H52" s="455">
        <f t="shared" si="19"/>
        <v>17846.059942456093</v>
      </c>
      <c r="I52" s="475">
        <f t="shared" si="20"/>
        <v>0</v>
      </c>
      <c r="J52" s="475"/>
      <c r="K52" s="487"/>
      <c r="L52" s="478">
        <f t="shared" si="21"/>
        <v>0</v>
      </c>
      <c r="M52" s="487"/>
      <c r="N52" s="478">
        <f t="shared" si="22"/>
        <v>0</v>
      </c>
      <c r="O52" s="478">
        <f t="shared" si="23"/>
        <v>0</v>
      </c>
      <c r="P52" s="242"/>
    </row>
    <row r="53" spans="2:16">
      <c r="B53" s="160" t="str">
        <f t="shared" si="6"/>
        <v/>
      </c>
      <c r="C53" s="472">
        <f>IF(D11="","-",+C52+1)</f>
        <v>2042</v>
      </c>
      <c r="D53" s="485">
        <f>IF(F52+SUM(E$17:E52)=D$10,F52,D$10-SUM(E$17:E52))</f>
        <v>79899.898169289954</v>
      </c>
      <c r="E53" s="484">
        <f>IF(+I14&lt;F52,I14,D53)</f>
        <v>9231.9523809523816</v>
      </c>
      <c r="F53" s="485">
        <f t="shared" si="17"/>
        <v>70667.945788337573</v>
      </c>
      <c r="G53" s="486">
        <f t="shared" si="18"/>
        <v>16850.751655032389</v>
      </c>
      <c r="H53" s="455">
        <f t="shared" si="19"/>
        <v>16850.751655032389</v>
      </c>
      <c r="I53" s="475">
        <f t="shared" si="20"/>
        <v>0</v>
      </c>
      <c r="J53" s="475"/>
      <c r="K53" s="487"/>
      <c r="L53" s="478">
        <f t="shared" si="21"/>
        <v>0</v>
      </c>
      <c r="M53" s="487"/>
      <c r="N53" s="478">
        <f t="shared" si="22"/>
        <v>0</v>
      </c>
      <c r="O53" s="478">
        <f t="shared" si="23"/>
        <v>0</v>
      </c>
      <c r="P53" s="242"/>
    </row>
    <row r="54" spans="2:16">
      <c r="B54" s="160" t="str">
        <f t="shared" si="6"/>
        <v/>
      </c>
      <c r="C54" s="472">
        <f>IF(D11="","-",+C53+1)</f>
        <v>2043</v>
      </c>
      <c r="D54" s="485">
        <f>IF(F53+SUM(E$17:E53)=D$10,F53,D$10-SUM(E$17:E53))</f>
        <v>70667.945788337573</v>
      </c>
      <c r="E54" s="484">
        <f>IF(+I14&lt;F53,I14,D54)</f>
        <v>9231.9523809523816</v>
      </c>
      <c r="F54" s="485">
        <f t="shared" si="17"/>
        <v>61435.993407385191</v>
      </c>
      <c r="G54" s="486">
        <f t="shared" si="18"/>
        <v>15855.443367608688</v>
      </c>
      <c r="H54" s="455">
        <f t="shared" si="19"/>
        <v>15855.443367608688</v>
      </c>
      <c r="I54" s="475">
        <f t="shared" si="20"/>
        <v>0</v>
      </c>
      <c r="J54" s="475"/>
      <c r="K54" s="487"/>
      <c r="L54" s="478">
        <f t="shared" si="21"/>
        <v>0</v>
      </c>
      <c r="M54" s="487"/>
      <c r="N54" s="478">
        <f t="shared" si="22"/>
        <v>0</v>
      </c>
      <c r="O54" s="478">
        <f t="shared" si="23"/>
        <v>0</v>
      </c>
      <c r="P54" s="242"/>
    </row>
    <row r="55" spans="2:16">
      <c r="B55" s="160" t="str">
        <f t="shared" si="6"/>
        <v/>
      </c>
      <c r="C55" s="472">
        <f>IF(D11="","-",+C54+1)</f>
        <v>2044</v>
      </c>
      <c r="D55" s="485">
        <f>IF(F54+SUM(E$17:E54)=D$10,F54,D$10-SUM(E$17:E54))</f>
        <v>61435.993407385191</v>
      </c>
      <c r="E55" s="484">
        <f>IF(+I14&lt;F54,I14,D55)</f>
        <v>9231.9523809523816</v>
      </c>
      <c r="F55" s="485">
        <f t="shared" si="17"/>
        <v>52204.041026432809</v>
      </c>
      <c r="G55" s="486">
        <f t="shared" si="18"/>
        <v>14860.135080184988</v>
      </c>
      <c r="H55" s="455">
        <f t="shared" si="19"/>
        <v>14860.135080184988</v>
      </c>
      <c r="I55" s="475">
        <f t="shared" si="20"/>
        <v>0</v>
      </c>
      <c r="J55" s="475"/>
      <c r="K55" s="487"/>
      <c r="L55" s="478">
        <f t="shared" si="21"/>
        <v>0</v>
      </c>
      <c r="M55" s="487"/>
      <c r="N55" s="478">
        <f t="shared" si="22"/>
        <v>0</v>
      </c>
      <c r="O55" s="478">
        <f t="shared" si="23"/>
        <v>0</v>
      </c>
      <c r="P55" s="242"/>
    </row>
    <row r="56" spans="2:16">
      <c r="B56" s="160" t="str">
        <f t="shared" si="6"/>
        <v/>
      </c>
      <c r="C56" s="472">
        <f>IF(D11="","-",+C55+1)</f>
        <v>2045</v>
      </c>
      <c r="D56" s="485">
        <f>IF(F55+SUM(E$17:E55)=D$10,F55,D$10-SUM(E$17:E55))</f>
        <v>52204.041026432809</v>
      </c>
      <c r="E56" s="484">
        <f>IF(+I14&lt;F55,I14,D56)</f>
        <v>9231.9523809523816</v>
      </c>
      <c r="F56" s="485">
        <f t="shared" si="17"/>
        <v>42972.088645480428</v>
      </c>
      <c r="G56" s="486">
        <f t="shared" si="18"/>
        <v>13864.826792761287</v>
      </c>
      <c r="H56" s="455">
        <f t="shared" si="19"/>
        <v>13864.826792761287</v>
      </c>
      <c r="I56" s="475">
        <f t="shared" si="20"/>
        <v>0</v>
      </c>
      <c r="J56" s="475"/>
      <c r="K56" s="487"/>
      <c r="L56" s="478">
        <f t="shared" si="21"/>
        <v>0</v>
      </c>
      <c r="M56" s="487"/>
      <c r="N56" s="478">
        <f t="shared" si="22"/>
        <v>0</v>
      </c>
      <c r="O56" s="478">
        <f t="shared" si="23"/>
        <v>0</v>
      </c>
      <c r="P56" s="242"/>
    </row>
    <row r="57" spans="2:16">
      <c r="B57" s="160" t="str">
        <f t="shared" si="6"/>
        <v/>
      </c>
      <c r="C57" s="472">
        <f>IF(D11="","-",+C56+1)</f>
        <v>2046</v>
      </c>
      <c r="D57" s="485">
        <f>IF(F56+SUM(E$17:E56)=D$10,F56,D$10-SUM(E$17:E56))</f>
        <v>42972.088645480428</v>
      </c>
      <c r="E57" s="484">
        <f>IF(+I14&lt;F56,I14,D57)</f>
        <v>9231.9523809523816</v>
      </c>
      <c r="F57" s="485">
        <f t="shared" si="17"/>
        <v>33740.136264528046</v>
      </c>
      <c r="G57" s="486">
        <f t="shared" si="18"/>
        <v>12869.518505337586</v>
      </c>
      <c r="H57" s="455">
        <f t="shared" si="19"/>
        <v>12869.518505337586</v>
      </c>
      <c r="I57" s="475">
        <f t="shared" si="20"/>
        <v>0</v>
      </c>
      <c r="J57" s="475"/>
      <c r="K57" s="487"/>
      <c r="L57" s="478">
        <f t="shared" si="21"/>
        <v>0</v>
      </c>
      <c r="M57" s="487"/>
      <c r="N57" s="478">
        <f t="shared" si="22"/>
        <v>0</v>
      </c>
      <c r="O57" s="478">
        <f t="shared" si="23"/>
        <v>0</v>
      </c>
      <c r="P57" s="242"/>
    </row>
    <row r="58" spans="2:16">
      <c r="B58" s="160" t="str">
        <f t="shared" si="6"/>
        <v/>
      </c>
      <c r="C58" s="472">
        <f>IF(D11="","-",+C57+1)</f>
        <v>2047</v>
      </c>
      <c r="D58" s="485">
        <f>IF(F57+SUM(E$17:E57)=D$10,F57,D$10-SUM(E$17:E57))</f>
        <v>33740.136264528046</v>
      </c>
      <c r="E58" s="484">
        <f>IF(+I14&lt;F57,I14,D58)</f>
        <v>9231.9523809523816</v>
      </c>
      <c r="F58" s="485">
        <f t="shared" si="17"/>
        <v>24508.183883575664</v>
      </c>
      <c r="G58" s="486">
        <f t="shared" si="18"/>
        <v>11874.210217913886</v>
      </c>
      <c r="H58" s="455">
        <f t="shared" si="19"/>
        <v>11874.210217913886</v>
      </c>
      <c r="I58" s="475">
        <f t="shared" si="20"/>
        <v>0</v>
      </c>
      <c r="J58" s="475"/>
      <c r="K58" s="487"/>
      <c r="L58" s="478">
        <f t="shared" si="21"/>
        <v>0</v>
      </c>
      <c r="M58" s="487"/>
      <c r="N58" s="478">
        <f t="shared" si="22"/>
        <v>0</v>
      </c>
      <c r="O58" s="478">
        <f t="shared" si="23"/>
        <v>0</v>
      </c>
      <c r="P58" s="242"/>
    </row>
    <row r="59" spans="2:16">
      <c r="B59" s="160" t="str">
        <f t="shared" si="6"/>
        <v/>
      </c>
      <c r="C59" s="472">
        <f>IF(D11="","-",+C58+1)</f>
        <v>2048</v>
      </c>
      <c r="D59" s="485">
        <f>IF(F58+SUM(E$17:E58)=D$10,F58,D$10-SUM(E$17:E58))</f>
        <v>24508.183883575664</v>
      </c>
      <c r="E59" s="484">
        <f>IF(+I14&lt;F58,I14,D59)</f>
        <v>9231.9523809523816</v>
      </c>
      <c r="F59" s="485">
        <f t="shared" si="17"/>
        <v>15276.231502623283</v>
      </c>
      <c r="G59" s="486">
        <f t="shared" si="18"/>
        <v>10878.901930490185</v>
      </c>
      <c r="H59" s="455">
        <f t="shared" si="19"/>
        <v>10878.901930490185</v>
      </c>
      <c r="I59" s="475">
        <f t="shared" si="20"/>
        <v>0</v>
      </c>
      <c r="J59" s="475"/>
      <c r="K59" s="487"/>
      <c r="L59" s="478">
        <f t="shared" si="21"/>
        <v>0</v>
      </c>
      <c r="M59" s="487"/>
      <c r="N59" s="478">
        <f t="shared" si="22"/>
        <v>0</v>
      </c>
      <c r="O59" s="478">
        <f t="shared" si="23"/>
        <v>0</v>
      </c>
      <c r="P59" s="242"/>
    </row>
    <row r="60" spans="2:16">
      <c r="B60" s="160" t="str">
        <f t="shared" si="6"/>
        <v/>
      </c>
      <c r="C60" s="472">
        <f>IF(D11="","-",+C59+1)</f>
        <v>2049</v>
      </c>
      <c r="D60" s="485">
        <f>IF(F59+SUM(E$17:E59)=D$10,F59,D$10-SUM(E$17:E59))</f>
        <v>15276.231502623283</v>
      </c>
      <c r="E60" s="484">
        <f>IF(+I14&lt;F59,I14,D60)</f>
        <v>9231.9523809523816</v>
      </c>
      <c r="F60" s="485">
        <f t="shared" si="17"/>
        <v>6044.2791216709011</v>
      </c>
      <c r="G60" s="486">
        <f t="shared" si="18"/>
        <v>9883.5936430664842</v>
      </c>
      <c r="H60" s="455">
        <f t="shared" si="19"/>
        <v>9883.5936430664842</v>
      </c>
      <c r="I60" s="475">
        <f t="shared" si="20"/>
        <v>0</v>
      </c>
      <c r="J60" s="475"/>
      <c r="K60" s="487"/>
      <c r="L60" s="478">
        <f t="shared" si="21"/>
        <v>0</v>
      </c>
      <c r="M60" s="487"/>
      <c r="N60" s="478">
        <f t="shared" si="22"/>
        <v>0</v>
      </c>
      <c r="O60" s="478">
        <f t="shared" si="23"/>
        <v>0</v>
      </c>
      <c r="P60" s="242"/>
    </row>
    <row r="61" spans="2:16">
      <c r="B61" s="160" t="str">
        <f t="shared" si="6"/>
        <v/>
      </c>
      <c r="C61" s="472">
        <f>IF(D11="","-",+C60+1)</f>
        <v>2050</v>
      </c>
      <c r="D61" s="485">
        <f>IF(F60+SUM(E$17:E60)=D$10,F60,D$10-SUM(E$17:E60))</f>
        <v>6044.2791216709011</v>
      </c>
      <c r="E61" s="484">
        <f>IF(+I14&lt;F60,I14,D61)</f>
        <v>6044.2791216709011</v>
      </c>
      <c r="F61" s="485">
        <f t="shared" si="17"/>
        <v>0</v>
      </c>
      <c r="G61" s="488">
        <f t="shared" si="18"/>
        <v>6044.2791216709011</v>
      </c>
      <c r="H61" s="455">
        <f t="shared" si="19"/>
        <v>6044.2791216709011</v>
      </c>
      <c r="I61" s="475">
        <f t="shared" si="20"/>
        <v>0</v>
      </c>
      <c r="J61" s="475"/>
      <c r="K61" s="487"/>
      <c r="L61" s="478">
        <f t="shared" si="21"/>
        <v>0</v>
      </c>
      <c r="M61" s="487"/>
      <c r="N61" s="478">
        <f t="shared" si="22"/>
        <v>0</v>
      </c>
      <c r="O61" s="478">
        <f t="shared" si="23"/>
        <v>0</v>
      </c>
      <c r="P61" s="242"/>
    </row>
    <row r="62" spans="2:16">
      <c r="B62" s="160" t="str">
        <f t="shared" si="6"/>
        <v/>
      </c>
      <c r="C62" s="472">
        <f>IF(D11="","-",+C61+1)</f>
        <v>2051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17"/>
        <v>0</v>
      </c>
      <c r="G62" s="488">
        <f t="shared" si="18"/>
        <v>0</v>
      </c>
      <c r="H62" s="455">
        <f t="shared" si="19"/>
        <v>0</v>
      </c>
      <c r="I62" s="475">
        <f t="shared" si="20"/>
        <v>0</v>
      </c>
      <c r="J62" s="475"/>
      <c r="K62" s="487"/>
      <c r="L62" s="478">
        <f t="shared" si="21"/>
        <v>0</v>
      </c>
      <c r="M62" s="487"/>
      <c r="N62" s="478">
        <f t="shared" si="22"/>
        <v>0</v>
      </c>
      <c r="O62" s="478">
        <f t="shared" si="23"/>
        <v>0</v>
      </c>
      <c r="P62" s="242"/>
    </row>
    <row r="63" spans="2:16">
      <c r="B63" s="160" t="str">
        <f t="shared" si="6"/>
        <v/>
      </c>
      <c r="C63" s="472">
        <f>IF(D11="","-",+C62+1)</f>
        <v>2052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17"/>
        <v>0</v>
      </c>
      <c r="G63" s="488">
        <f t="shared" si="18"/>
        <v>0</v>
      </c>
      <c r="H63" s="455">
        <f t="shared" si="19"/>
        <v>0</v>
      </c>
      <c r="I63" s="475">
        <f t="shared" si="20"/>
        <v>0</v>
      </c>
      <c r="J63" s="475"/>
      <c r="K63" s="487"/>
      <c r="L63" s="478">
        <f t="shared" si="21"/>
        <v>0</v>
      </c>
      <c r="M63" s="487"/>
      <c r="N63" s="478">
        <f t="shared" si="22"/>
        <v>0</v>
      </c>
      <c r="O63" s="478">
        <f t="shared" si="23"/>
        <v>0</v>
      </c>
      <c r="P63" s="242"/>
    </row>
    <row r="64" spans="2:16">
      <c r="B64" s="160" t="str">
        <f t="shared" si="6"/>
        <v/>
      </c>
      <c r="C64" s="472">
        <f>IF(D11="","-",+C63+1)</f>
        <v>2053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17"/>
        <v>0</v>
      </c>
      <c r="G64" s="488">
        <f t="shared" si="18"/>
        <v>0</v>
      </c>
      <c r="H64" s="455">
        <f t="shared" si="19"/>
        <v>0</v>
      </c>
      <c r="I64" s="475">
        <f t="shared" si="20"/>
        <v>0</v>
      </c>
      <c r="J64" s="475"/>
      <c r="K64" s="487"/>
      <c r="L64" s="478">
        <f t="shared" si="21"/>
        <v>0</v>
      </c>
      <c r="M64" s="487"/>
      <c r="N64" s="478">
        <f t="shared" si="22"/>
        <v>0</v>
      </c>
      <c r="O64" s="478">
        <f t="shared" si="23"/>
        <v>0</v>
      </c>
      <c r="P64" s="242"/>
    </row>
    <row r="65" spans="2:16">
      <c r="B65" s="160" t="str">
        <f t="shared" si="6"/>
        <v/>
      </c>
      <c r="C65" s="472">
        <f>IF(D11="","-",+C64+1)</f>
        <v>2054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17"/>
        <v>0</v>
      </c>
      <c r="G65" s="488">
        <f t="shared" si="18"/>
        <v>0</v>
      </c>
      <c r="H65" s="455">
        <f t="shared" si="19"/>
        <v>0</v>
      </c>
      <c r="I65" s="475">
        <f t="shared" si="20"/>
        <v>0</v>
      </c>
      <c r="J65" s="475"/>
      <c r="K65" s="487"/>
      <c r="L65" s="478">
        <f t="shared" si="21"/>
        <v>0</v>
      </c>
      <c r="M65" s="487"/>
      <c r="N65" s="478">
        <f t="shared" si="22"/>
        <v>0</v>
      </c>
      <c r="O65" s="478">
        <f t="shared" si="23"/>
        <v>0</v>
      </c>
      <c r="P65" s="242"/>
    </row>
    <row r="66" spans="2:16">
      <c r="B66" s="160" t="str">
        <f t="shared" si="6"/>
        <v/>
      </c>
      <c r="C66" s="472">
        <f>IF(D11="","-",+C65+1)</f>
        <v>2055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17"/>
        <v>0</v>
      </c>
      <c r="G66" s="488">
        <f t="shared" si="18"/>
        <v>0</v>
      </c>
      <c r="H66" s="455">
        <f t="shared" si="19"/>
        <v>0</v>
      </c>
      <c r="I66" s="475">
        <f t="shared" si="20"/>
        <v>0</v>
      </c>
      <c r="J66" s="475"/>
      <c r="K66" s="487"/>
      <c r="L66" s="478">
        <f t="shared" si="21"/>
        <v>0</v>
      </c>
      <c r="M66" s="487"/>
      <c r="N66" s="478">
        <f t="shared" si="22"/>
        <v>0</v>
      </c>
      <c r="O66" s="478">
        <f t="shared" si="23"/>
        <v>0</v>
      </c>
      <c r="P66" s="242"/>
    </row>
    <row r="67" spans="2:16">
      <c r="B67" s="160" t="str">
        <f t="shared" si="6"/>
        <v/>
      </c>
      <c r="C67" s="472">
        <f>IF(D11="","-",+C66+1)</f>
        <v>2056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17"/>
        <v>0</v>
      </c>
      <c r="G67" s="488">
        <f t="shared" si="18"/>
        <v>0</v>
      </c>
      <c r="H67" s="455">
        <f t="shared" si="19"/>
        <v>0</v>
      </c>
      <c r="I67" s="475">
        <f t="shared" si="20"/>
        <v>0</v>
      </c>
      <c r="J67" s="475"/>
      <c r="K67" s="487"/>
      <c r="L67" s="478">
        <f t="shared" si="21"/>
        <v>0</v>
      </c>
      <c r="M67" s="487"/>
      <c r="N67" s="478">
        <f t="shared" si="22"/>
        <v>0</v>
      </c>
      <c r="O67" s="478">
        <f t="shared" si="23"/>
        <v>0</v>
      </c>
      <c r="P67" s="242"/>
    </row>
    <row r="68" spans="2:16">
      <c r="B68" s="160" t="str">
        <f t="shared" si="6"/>
        <v/>
      </c>
      <c r="C68" s="472">
        <f>IF(D11="","-",+C67+1)</f>
        <v>2057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17"/>
        <v>0</v>
      </c>
      <c r="G68" s="488">
        <f t="shared" si="18"/>
        <v>0</v>
      </c>
      <c r="H68" s="455">
        <f t="shared" si="19"/>
        <v>0</v>
      </c>
      <c r="I68" s="475">
        <f t="shared" si="20"/>
        <v>0</v>
      </c>
      <c r="J68" s="475"/>
      <c r="K68" s="487"/>
      <c r="L68" s="478">
        <f t="shared" si="21"/>
        <v>0</v>
      </c>
      <c r="M68" s="487"/>
      <c r="N68" s="478">
        <f t="shared" si="22"/>
        <v>0</v>
      </c>
      <c r="O68" s="478">
        <f t="shared" si="23"/>
        <v>0</v>
      </c>
      <c r="P68" s="242"/>
    </row>
    <row r="69" spans="2:16">
      <c r="B69" s="160" t="str">
        <f t="shared" si="6"/>
        <v/>
      </c>
      <c r="C69" s="472">
        <f>IF(D11="","-",+C68+1)</f>
        <v>2058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17"/>
        <v>0</v>
      </c>
      <c r="G69" s="488">
        <f t="shared" si="18"/>
        <v>0</v>
      </c>
      <c r="H69" s="455">
        <f t="shared" si="19"/>
        <v>0</v>
      </c>
      <c r="I69" s="475">
        <f t="shared" si="20"/>
        <v>0</v>
      </c>
      <c r="J69" s="475"/>
      <c r="K69" s="487"/>
      <c r="L69" s="478">
        <f t="shared" si="21"/>
        <v>0</v>
      </c>
      <c r="M69" s="487"/>
      <c r="N69" s="478">
        <f t="shared" si="22"/>
        <v>0</v>
      </c>
      <c r="O69" s="478">
        <f t="shared" si="23"/>
        <v>0</v>
      </c>
      <c r="P69" s="242"/>
    </row>
    <row r="70" spans="2:16">
      <c r="B70" s="160" t="str">
        <f t="shared" si="6"/>
        <v/>
      </c>
      <c r="C70" s="472">
        <f>IF(D11="","-",+C69+1)</f>
        <v>2059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17"/>
        <v>0</v>
      </c>
      <c r="G70" s="488">
        <f t="shared" si="18"/>
        <v>0</v>
      </c>
      <c r="H70" s="455">
        <f t="shared" si="19"/>
        <v>0</v>
      </c>
      <c r="I70" s="475">
        <f t="shared" si="20"/>
        <v>0</v>
      </c>
      <c r="J70" s="475"/>
      <c r="K70" s="487"/>
      <c r="L70" s="478">
        <f t="shared" si="21"/>
        <v>0</v>
      </c>
      <c r="M70" s="487"/>
      <c r="N70" s="478">
        <f t="shared" si="22"/>
        <v>0</v>
      </c>
      <c r="O70" s="478">
        <f t="shared" si="23"/>
        <v>0</v>
      </c>
      <c r="P70" s="242"/>
    </row>
    <row r="71" spans="2:16">
      <c r="B71" s="160" t="str">
        <f t="shared" si="6"/>
        <v/>
      </c>
      <c r="C71" s="472">
        <f>IF(D11="","-",+C70+1)</f>
        <v>2060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17"/>
        <v>0</v>
      </c>
      <c r="G71" s="488">
        <f t="shared" si="18"/>
        <v>0</v>
      </c>
      <c r="H71" s="455">
        <f t="shared" si="19"/>
        <v>0</v>
      </c>
      <c r="I71" s="475">
        <f t="shared" si="20"/>
        <v>0</v>
      </c>
      <c r="J71" s="475"/>
      <c r="K71" s="487"/>
      <c r="L71" s="478">
        <f t="shared" si="21"/>
        <v>0</v>
      </c>
      <c r="M71" s="487"/>
      <c r="N71" s="478">
        <f t="shared" si="22"/>
        <v>0</v>
      </c>
      <c r="O71" s="478">
        <f t="shared" si="23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2061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17"/>
        <v>0</v>
      </c>
      <c r="G72" s="492">
        <f t="shared" si="18"/>
        <v>0</v>
      </c>
      <c r="H72" s="435">
        <f t="shared" si="19"/>
        <v>0</v>
      </c>
      <c r="I72" s="493">
        <f t="shared" si="20"/>
        <v>0</v>
      </c>
      <c r="J72" s="475"/>
      <c r="K72" s="494"/>
      <c r="L72" s="495">
        <f t="shared" si="21"/>
        <v>0</v>
      </c>
      <c r="M72" s="494"/>
      <c r="N72" s="495">
        <f t="shared" si="22"/>
        <v>0</v>
      </c>
      <c r="O72" s="495">
        <f t="shared" si="23"/>
        <v>0</v>
      </c>
      <c r="P72" s="242"/>
    </row>
    <row r="73" spans="2:16">
      <c r="C73" s="346" t="s">
        <v>77</v>
      </c>
      <c r="D73" s="347"/>
      <c r="E73" s="347">
        <f>SUM(E17:E72)</f>
        <v>387741.99999999977</v>
      </c>
      <c r="F73" s="347"/>
      <c r="G73" s="347">
        <f>SUM(G17:G72)</f>
        <v>1434260.8633459294</v>
      </c>
      <c r="H73" s="347">
        <f>SUM(H17:H72)</f>
        <v>1434260.8633459294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5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39392.204131039958</v>
      </c>
      <c r="N87" s="508">
        <f>IF(J92&lt;D11,0,VLOOKUP(J92,C17:O72,11))</f>
        <v>39392.204131039958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40996.940785437022</v>
      </c>
      <c r="N88" s="512">
        <f>IF(J92&lt;D11,0,VLOOKUP(J92,C99:P154,7))</f>
        <v>40996.940785437022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Catoosa 138 kV Device (Cap. Bank)</v>
      </c>
      <c r="E89" s="232"/>
      <c r="F89" s="232"/>
      <c r="G89" s="232">
        <v>387742</v>
      </c>
      <c r="H89" s="232"/>
      <c r="I89" s="241"/>
      <c r="J89" s="241"/>
      <c r="K89" s="515"/>
      <c r="L89" s="516" t="s">
        <v>156</v>
      </c>
      <c r="M89" s="517">
        <f>+M88-M87</f>
        <v>1604.7366543970638</v>
      </c>
      <c r="N89" s="517">
        <f>+N88-N87</f>
        <v>1604.7366543970638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TP2005006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387742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2006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5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9232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2006</v>
      </c>
      <c r="D99" s="473">
        <f>IF(D93=C99,0,D92)</f>
        <v>0</v>
      </c>
      <c r="E99" s="480">
        <v>3801</v>
      </c>
      <c r="F99" s="479">
        <v>383941</v>
      </c>
      <c r="G99" s="537">
        <v>385841</v>
      </c>
      <c r="H99" s="538">
        <v>0</v>
      </c>
      <c r="I99" s="539">
        <v>0</v>
      </c>
      <c r="J99" s="478">
        <f t="shared" ref="J99:J130" si="24">+I99-H99</f>
        <v>0</v>
      </c>
      <c r="K99" s="478"/>
      <c r="L99" s="554">
        <v>0</v>
      </c>
      <c r="M99" s="562">
        <f>IF(L99&lt;&gt;0,+H99-L99,0)</f>
        <v>0</v>
      </c>
      <c r="N99" s="554">
        <v>0</v>
      </c>
      <c r="O99" s="477">
        <f>IF(N99&lt;&gt;0,+I99-N99,0)</f>
        <v>0</v>
      </c>
      <c r="P99" s="477">
        <f t="shared" ref="P99:P130" si="25">+O99-M99</f>
        <v>0</v>
      </c>
    </row>
    <row r="100" spans="1:16">
      <c r="B100" s="160" t="str">
        <f t="shared" ref="B100:B154" si="26">IF(D100=F99,"","IU")</f>
        <v/>
      </c>
      <c r="C100" s="472">
        <f>IF(D93="","-",+C99+1)</f>
        <v>2007</v>
      </c>
      <c r="D100" s="473">
        <v>383941</v>
      </c>
      <c r="E100" s="561">
        <v>7603</v>
      </c>
      <c r="F100" s="479">
        <v>376338</v>
      </c>
      <c r="G100" s="479">
        <v>380140</v>
      </c>
      <c r="H100" s="480">
        <v>66528</v>
      </c>
      <c r="I100" s="481">
        <v>66528</v>
      </c>
      <c r="J100" s="478">
        <f t="shared" si="24"/>
        <v>0</v>
      </c>
      <c r="K100" s="478"/>
      <c r="L100" s="476">
        <v>0</v>
      </c>
      <c r="M100" s="550">
        <f>IF(L100&lt;&gt;0,+H100-L100,0)</f>
        <v>0</v>
      </c>
      <c r="N100" s="476">
        <v>0</v>
      </c>
      <c r="O100" s="478">
        <f>IF(N100&lt;&gt;0,+I100-N100,0)</f>
        <v>0</v>
      </c>
      <c r="P100" s="478">
        <f t="shared" si="25"/>
        <v>0</v>
      </c>
    </row>
    <row r="101" spans="1:16">
      <c r="B101" s="160"/>
      <c r="C101" s="472">
        <f>IF(D93="","-",+C100+1)</f>
        <v>2008</v>
      </c>
      <c r="D101" s="473">
        <v>376159</v>
      </c>
      <c r="E101" s="561">
        <v>7316</v>
      </c>
      <c r="F101" s="479">
        <v>368843</v>
      </c>
      <c r="G101" s="479">
        <v>372501</v>
      </c>
      <c r="H101" s="480">
        <v>66486</v>
      </c>
      <c r="I101" s="481">
        <v>66486</v>
      </c>
      <c r="J101" s="478">
        <f t="shared" si="24"/>
        <v>0</v>
      </c>
      <c r="K101" s="478"/>
      <c r="L101" s="476">
        <v>66486</v>
      </c>
      <c r="M101" s="478">
        <f>IF(L101&lt;&gt;"",+H101-L101,0)</f>
        <v>0</v>
      </c>
      <c r="N101" s="476">
        <v>66486</v>
      </c>
      <c r="O101" s="478">
        <f>IF(N101&lt;&gt;"",+I101-N101,0)</f>
        <v>0</v>
      </c>
      <c r="P101" s="478">
        <f t="shared" si="25"/>
        <v>0</v>
      </c>
    </row>
    <row r="102" spans="1:16">
      <c r="B102" s="160"/>
      <c r="C102" s="472">
        <f>IF(D93="","-",+C101+1)</f>
        <v>2009</v>
      </c>
      <c r="D102" s="473">
        <v>369022</v>
      </c>
      <c r="E102" s="480">
        <v>6924</v>
      </c>
      <c r="F102" s="479">
        <v>362098</v>
      </c>
      <c r="G102" s="479">
        <v>365560</v>
      </c>
      <c r="H102" s="480">
        <v>60371.899487403767</v>
      </c>
      <c r="I102" s="481">
        <v>60371.899487403767</v>
      </c>
      <c r="J102" s="478">
        <f t="shared" si="24"/>
        <v>0</v>
      </c>
      <c r="K102" s="478"/>
      <c r="L102" s="476">
        <f t="shared" ref="L102:L107" si="27">H102</f>
        <v>60371.899487403767</v>
      </c>
      <c r="M102" s="550">
        <f t="shared" ref="M102:M133" si="28">IF(L102&lt;&gt;0,+H102-L102,0)</f>
        <v>0</v>
      </c>
      <c r="N102" s="476">
        <f t="shared" ref="N102:N107" si="29">I102</f>
        <v>60371.899487403767</v>
      </c>
      <c r="O102" s="478">
        <f t="shared" ref="O102:O133" si="30">IF(N102&lt;&gt;0,+I102-N102,0)</f>
        <v>0</v>
      </c>
      <c r="P102" s="478">
        <f t="shared" si="25"/>
        <v>0</v>
      </c>
    </row>
    <row r="103" spans="1:16">
      <c r="B103" s="160" t="str">
        <f t="shared" si="26"/>
        <v/>
      </c>
      <c r="C103" s="472">
        <f>IF(D93="","-",+C102+1)</f>
        <v>2010</v>
      </c>
      <c r="D103" s="473">
        <v>362098</v>
      </c>
      <c r="E103" s="480">
        <v>7603</v>
      </c>
      <c r="F103" s="479">
        <v>354495</v>
      </c>
      <c r="G103" s="479">
        <v>358296.5</v>
      </c>
      <c r="H103" s="480">
        <v>65222.531099646738</v>
      </c>
      <c r="I103" s="481">
        <v>65222.531099646738</v>
      </c>
      <c r="J103" s="478">
        <f t="shared" si="24"/>
        <v>0</v>
      </c>
      <c r="K103" s="478"/>
      <c r="L103" s="540">
        <f t="shared" si="27"/>
        <v>65222.531099646738</v>
      </c>
      <c r="M103" s="541">
        <f t="shared" si="28"/>
        <v>0</v>
      </c>
      <c r="N103" s="540">
        <f t="shared" si="29"/>
        <v>65222.531099646738</v>
      </c>
      <c r="O103" s="478">
        <f t="shared" si="30"/>
        <v>0</v>
      </c>
      <c r="P103" s="478">
        <f t="shared" si="25"/>
        <v>0</v>
      </c>
    </row>
    <row r="104" spans="1:16">
      <c r="B104" s="160" t="str">
        <f t="shared" si="26"/>
        <v/>
      </c>
      <c r="C104" s="472">
        <f>IF(D93="","-",+C103+1)</f>
        <v>2011</v>
      </c>
      <c r="D104" s="473">
        <v>354495</v>
      </c>
      <c r="E104" s="480">
        <v>7457</v>
      </c>
      <c r="F104" s="479">
        <v>347038</v>
      </c>
      <c r="G104" s="479">
        <v>350766.5</v>
      </c>
      <c r="H104" s="480">
        <v>56498.870276795831</v>
      </c>
      <c r="I104" s="481">
        <v>56498.870276795831</v>
      </c>
      <c r="J104" s="478">
        <f t="shared" si="24"/>
        <v>0</v>
      </c>
      <c r="K104" s="478"/>
      <c r="L104" s="540">
        <f t="shared" si="27"/>
        <v>56498.870276795831</v>
      </c>
      <c r="M104" s="541">
        <f t="shared" si="28"/>
        <v>0</v>
      </c>
      <c r="N104" s="540">
        <f t="shared" si="29"/>
        <v>56498.870276795831</v>
      </c>
      <c r="O104" s="478">
        <f t="shared" si="30"/>
        <v>0</v>
      </c>
      <c r="P104" s="478">
        <f t="shared" si="25"/>
        <v>0</v>
      </c>
    </row>
    <row r="105" spans="1:16">
      <c r="B105" s="160" t="str">
        <f t="shared" si="26"/>
        <v/>
      </c>
      <c r="C105" s="472">
        <f>IF(D93="","-",+C104+1)</f>
        <v>2012</v>
      </c>
      <c r="D105" s="473">
        <v>347038</v>
      </c>
      <c r="E105" s="480">
        <v>7457</v>
      </c>
      <c r="F105" s="479">
        <v>339581</v>
      </c>
      <c r="G105" s="479">
        <v>343309.5</v>
      </c>
      <c r="H105" s="480">
        <v>56843.953528154576</v>
      </c>
      <c r="I105" s="481">
        <v>56843.953528154576</v>
      </c>
      <c r="J105" s="478">
        <v>0</v>
      </c>
      <c r="K105" s="478"/>
      <c r="L105" s="540">
        <f t="shared" si="27"/>
        <v>56843.953528154576</v>
      </c>
      <c r="M105" s="541">
        <f t="shared" ref="M105:M110" si="31">IF(L105&lt;&gt;0,+H105-L105,0)</f>
        <v>0</v>
      </c>
      <c r="N105" s="540">
        <f t="shared" si="29"/>
        <v>56843.953528154576</v>
      </c>
      <c r="O105" s="478">
        <f t="shared" ref="O105:O110" si="32">IF(N105&lt;&gt;0,+I105-N105,0)</f>
        <v>0</v>
      </c>
      <c r="P105" s="478">
        <f t="shared" ref="P105:P110" si="33">+O105-M105</f>
        <v>0</v>
      </c>
    </row>
    <row r="106" spans="1:16">
      <c r="B106" s="160" t="str">
        <f t="shared" si="26"/>
        <v/>
      </c>
      <c r="C106" s="472">
        <f>IF(D93="","-",+C105+1)</f>
        <v>2013</v>
      </c>
      <c r="D106" s="473">
        <v>339581</v>
      </c>
      <c r="E106" s="480">
        <v>7457</v>
      </c>
      <c r="F106" s="479">
        <v>332124</v>
      </c>
      <c r="G106" s="479">
        <v>335852.5</v>
      </c>
      <c r="H106" s="480">
        <v>55799.472473591821</v>
      </c>
      <c r="I106" s="481">
        <v>55799.472473591821</v>
      </c>
      <c r="J106" s="478">
        <v>0</v>
      </c>
      <c r="K106" s="478"/>
      <c r="L106" s="540">
        <f t="shared" si="27"/>
        <v>55799.472473591821</v>
      </c>
      <c r="M106" s="541">
        <f t="shared" si="31"/>
        <v>0</v>
      </c>
      <c r="N106" s="540">
        <f t="shared" si="29"/>
        <v>55799.472473591821</v>
      </c>
      <c r="O106" s="478">
        <f t="shared" si="32"/>
        <v>0</v>
      </c>
      <c r="P106" s="478">
        <f t="shared" si="33"/>
        <v>0</v>
      </c>
    </row>
    <row r="107" spans="1:16">
      <c r="B107" s="160" t="str">
        <f t="shared" si="26"/>
        <v/>
      </c>
      <c r="C107" s="472">
        <f>IF(D93="","-",+C106+1)</f>
        <v>2014</v>
      </c>
      <c r="D107" s="473">
        <v>332124</v>
      </c>
      <c r="E107" s="480">
        <v>7457</v>
      </c>
      <c r="F107" s="479">
        <v>324667</v>
      </c>
      <c r="G107" s="479">
        <v>328395.5</v>
      </c>
      <c r="H107" s="480">
        <v>53628.064898886892</v>
      </c>
      <c r="I107" s="481">
        <v>53628.064898886892</v>
      </c>
      <c r="J107" s="478">
        <v>0</v>
      </c>
      <c r="K107" s="478"/>
      <c r="L107" s="540">
        <f t="shared" si="27"/>
        <v>53628.064898886892</v>
      </c>
      <c r="M107" s="541">
        <f t="shared" si="31"/>
        <v>0</v>
      </c>
      <c r="N107" s="540">
        <f t="shared" si="29"/>
        <v>53628.064898886892</v>
      </c>
      <c r="O107" s="478">
        <f t="shared" si="32"/>
        <v>0</v>
      </c>
      <c r="P107" s="478">
        <f t="shared" si="33"/>
        <v>0</v>
      </c>
    </row>
    <row r="108" spans="1:16">
      <c r="B108" s="160" t="str">
        <f t="shared" si="26"/>
        <v/>
      </c>
      <c r="C108" s="472">
        <f>IF(D93="","-",+C107+1)</f>
        <v>2015</v>
      </c>
      <c r="D108" s="473">
        <v>324667</v>
      </c>
      <c r="E108" s="480">
        <v>7457</v>
      </c>
      <c r="F108" s="479">
        <v>317210</v>
      </c>
      <c r="G108" s="479">
        <v>320938.5</v>
      </c>
      <c r="H108" s="480">
        <v>51246.477852296055</v>
      </c>
      <c r="I108" s="481">
        <v>51246.477852296055</v>
      </c>
      <c r="J108" s="478">
        <f t="shared" si="24"/>
        <v>0</v>
      </c>
      <c r="K108" s="478"/>
      <c r="L108" s="540">
        <f t="shared" ref="L108:L113" si="34">H108</f>
        <v>51246.477852296055</v>
      </c>
      <c r="M108" s="541">
        <f t="shared" si="31"/>
        <v>0</v>
      </c>
      <c r="N108" s="540">
        <f t="shared" ref="N108:N113" si="35">I108</f>
        <v>51246.477852296055</v>
      </c>
      <c r="O108" s="478">
        <f t="shared" si="32"/>
        <v>0</v>
      </c>
      <c r="P108" s="478">
        <f t="shared" si="33"/>
        <v>0</v>
      </c>
    </row>
    <row r="109" spans="1:16">
      <c r="B109" s="160" t="str">
        <f t="shared" si="26"/>
        <v/>
      </c>
      <c r="C109" s="472">
        <f>IF(D93="","-",+C108+1)</f>
        <v>2016</v>
      </c>
      <c r="D109" s="473">
        <v>317210</v>
      </c>
      <c r="E109" s="480">
        <v>8429</v>
      </c>
      <c r="F109" s="479">
        <v>308781</v>
      </c>
      <c r="G109" s="479">
        <v>312995.5</v>
      </c>
      <c r="H109" s="480">
        <v>48779.04927680167</v>
      </c>
      <c r="I109" s="481">
        <v>48779.04927680167</v>
      </c>
      <c r="J109" s="478">
        <f t="shared" si="24"/>
        <v>0</v>
      </c>
      <c r="K109" s="478"/>
      <c r="L109" s="540">
        <f t="shared" si="34"/>
        <v>48779.04927680167</v>
      </c>
      <c r="M109" s="541">
        <f t="shared" si="31"/>
        <v>0</v>
      </c>
      <c r="N109" s="540">
        <f t="shared" si="35"/>
        <v>48779.04927680167</v>
      </c>
      <c r="O109" s="478">
        <f t="shared" si="32"/>
        <v>0</v>
      </c>
      <c r="P109" s="478">
        <f t="shared" si="33"/>
        <v>0</v>
      </c>
    </row>
    <row r="110" spans="1:16">
      <c r="B110" s="160" t="str">
        <f t="shared" si="26"/>
        <v/>
      </c>
      <c r="C110" s="472">
        <f>IF(D93="","-",+C109+1)</f>
        <v>2017</v>
      </c>
      <c r="D110" s="473">
        <v>308781</v>
      </c>
      <c r="E110" s="480">
        <v>8429</v>
      </c>
      <c r="F110" s="479">
        <v>300352</v>
      </c>
      <c r="G110" s="479">
        <v>304566.5</v>
      </c>
      <c r="H110" s="480">
        <v>47064.028489702585</v>
      </c>
      <c r="I110" s="481">
        <v>47064.028489702585</v>
      </c>
      <c r="J110" s="478">
        <f t="shared" si="24"/>
        <v>0</v>
      </c>
      <c r="K110" s="478"/>
      <c r="L110" s="540">
        <f t="shared" si="34"/>
        <v>47064.028489702585</v>
      </c>
      <c r="M110" s="541">
        <f t="shared" si="31"/>
        <v>0</v>
      </c>
      <c r="N110" s="540">
        <f t="shared" si="35"/>
        <v>47064.028489702585</v>
      </c>
      <c r="O110" s="478">
        <f t="shared" si="32"/>
        <v>0</v>
      </c>
      <c r="P110" s="478">
        <f t="shared" si="33"/>
        <v>0</v>
      </c>
    </row>
    <row r="111" spans="1:16">
      <c r="B111" s="160" t="str">
        <f t="shared" si="26"/>
        <v/>
      </c>
      <c r="C111" s="472">
        <f>IF(D93="","-",+C110+1)</f>
        <v>2018</v>
      </c>
      <c r="D111" s="473">
        <v>300352</v>
      </c>
      <c r="E111" s="480">
        <v>9017</v>
      </c>
      <c r="F111" s="479">
        <v>291335</v>
      </c>
      <c r="G111" s="479">
        <v>295843.5</v>
      </c>
      <c r="H111" s="480">
        <v>39410.649664559314</v>
      </c>
      <c r="I111" s="481">
        <v>39410.649664559314</v>
      </c>
      <c r="J111" s="478">
        <f t="shared" si="24"/>
        <v>0</v>
      </c>
      <c r="K111" s="478"/>
      <c r="L111" s="540">
        <f t="shared" si="34"/>
        <v>39410.649664559314</v>
      </c>
      <c r="M111" s="541">
        <f t="shared" ref="M111" si="36">IF(L111&lt;&gt;0,+H111-L111,0)</f>
        <v>0</v>
      </c>
      <c r="N111" s="540">
        <f t="shared" si="35"/>
        <v>39410.649664559314</v>
      </c>
      <c r="O111" s="478">
        <f t="shared" ref="O111" si="37">IF(N111&lt;&gt;0,+I111-N111,0)</f>
        <v>0</v>
      </c>
      <c r="P111" s="478">
        <f t="shared" ref="P111" si="38">+O111-M111</f>
        <v>0</v>
      </c>
    </row>
    <row r="112" spans="1:16">
      <c r="B112" s="160" t="str">
        <f t="shared" si="26"/>
        <v/>
      </c>
      <c r="C112" s="472">
        <f>IF(D93="","-",+C111+1)</f>
        <v>2019</v>
      </c>
      <c r="D112" s="473">
        <v>291335</v>
      </c>
      <c r="E112" s="480">
        <v>9457</v>
      </c>
      <c r="F112" s="479">
        <v>281878</v>
      </c>
      <c r="G112" s="479">
        <v>286606.5</v>
      </c>
      <c r="H112" s="480">
        <v>39010.150115878176</v>
      </c>
      <c r="I112" s="481">
        <v>39010.150115878176</v>
      </c>
      <c r="J112" s="478">
        <f t="shared" si="24"/>
        <v>0</v>
      </c>
      <c r="K112" s="478"/>
      <c r="L112" s="540">
        <f t="shared" si="34"/>
        <v>39010.150115878176</v>
      </c>
      <c r="M112" s="541">
        <f t="shared" ref="M112:M113" si="39">IF(L112&lt;&gt;0,+H112-L112,0)</f>
        <v>0</v>
      </c>
      <c r="N112" s="540">
        <f t="shared" si="35"/>
        <v>39010.150115878176</v>
      </c>
      <c r="O112" s="478">
        <f t="shared" si="30"/>
        <v>0</v>
      </c>
      <c r="P112" s="478">
        <f t="shared" si="25"/>
        <v>0</v>
      </c>
    </row>
    <row r="113" spans="2:16">
      <c r="B113" s="160" t="str">
        <f t="shared" si="26"/>
        <v/>
      </c>
      <c r="C113" s="472">
        <f>IF(D93="","-",+C112+1)</f>
        <v>2020</v>
      </c>
      <c r="D113" s="473">
        <v>281878</v>
      </c>
      <c r="E113" s="480">
        <v>9017</v>
      </c>
      <c r="F113" s="479">
        <v>272861</v>
      </c>
      <c r="G113" s="479">
        <v>277369.5</v>
      </c>
      <c r="H113" s="480">
        <v>40996.940785437022</v>
      </c>
      <c r="I113" s="481">
        <v>40996.940785437022</v>
      </c>
      <c r="J113" s="478">
        <f t="shared" si="24"/>
        <v>0</v>
      </c>
      <c r="K113" s="478"/>
      <c r="L113" s="540">
        <f t="shared" si="34"/>
        <v>40996.940785437022</v>
      </c>
      <c r="M113" s="541">
        <f t="shared" si="39"/>
        <v>0</v>
      </c>
      <c r="N113" s="540">
        <f t="shared" si="35"/>
        <v>40996.940785437022</v>
      </c>
      <c r="O113" s="478">
        <f t="shared" si="30"/>
        <v>0</v>
      </c>
      <c r="P113" s="478">
        <f t="shared" si="25"/>
        <v>0</v>
      </c>
    </row>
    <row r="114" spans="2:16">
      <c r="B114" s="160" t="str">
        <f t="shared" si="26"/>
        <v/>
      </c>
      <c r="C114" s="472">
        <f>IF(D93="","-",+C113+1)</f>
        <v>2021</v>
      </c>
      <c r="D114" s="346">
        <f>IF(F113+SUM(E$99:E113)=D$92,F113,D$92-SUM(E$99:E113))</f>
        <v>272861</v>
      </c>
      <c r="E114" s="486">
        <f>IF(+J96&lt;F113,J96,D114)</f>
        <v>9232</v>
      </c>
      <c r="F114" s="485">
        <f t="shared" ref="F114:F130" si="40">+D114-E114</f>
        <v>263629</v>
      </c>
      <c r="G114" s="485">
        <f t="shared" ref="G114:G130" si="41">+(F114+D114)/2</f>
        <v>268245</v>
      </c>
      <c r="H114" s="488">
        <f t="shared" ref="H114:H154" si="42">+J$94*G114+E114</f>
        <v>38151.827631566266</v>
      </c>
      <c r="I114" s="542">
        <f t="shared" ref="I114:I154" si="43">+J$95*G114+E114</f>
        <v>38151.827631566266</v>
      </c>
      <c r="J114" s="478">
        <f t="shared" si="24"/>
        <v>0</v>
      </c>
      <c r="K114" s="478"/>
      <c r="L114" s="487"/>
      <c r="M114" s="478">
        <f t="shared" si="28"/>
        <v>0</v>
      </c>
      <c r="N114" s="487"/>
      <c r="O114" s="478">
        <f t="shared" si="30"/>
        <v>0</v>
      </c>
      <c r="P114" s="478">
        <f t="shared" si="25"/>
        <v>0</v>
      </c>
    </row>
    <row r="115" spans="2:16">
      <c r="B115" s="160" t="str">
        <f t="shared" si="26"/>
        <v/>
      </c>
      <c r="C115" s="472">
        <f>IF(D93="","-",+C114+1)</f>
        <v>2022</v>
      </c>
      <c r="D115" s="346">
        <f>IF(F114+SUM(E$99:E114)=D$92,F114,D$92-SUM(E$99:E114))</f>
        <v>263629</v>
      </c>
      <c r="E115" s="486">
        <f>IF(+J96&lt;F114,J96,D115)</f>
        <v>9232</v>
      </c>
      <c r="F115" s="485">
        <f t="shared" si="40"/>
        <v>254397</v>
      </c>
      <c r="G115" s="485">
        <f t="shared" si="41"/>
        <v>259013</v>
      </c>
      <c r="H115" s="488">
        <f t="shared" si="42"/>
        <v>37156.514210273715</v>
      </c>
      <c r="I115" s="542">
        <f t="shared" si="43"/>
        <v>37156.514210273715</v>
      </c>
      <c r="J115" s="478">
        <f t="shared" si="24"/>
        <v>0</v>
      </c>
      <c r="K115" s="478"/>
      <c r="L115" s="487"/>
      <c r="M115" s="478">
        <f t="shared" si="28"/>
        <v>0</v>
      </c>
      <c r="N115" s="487"/>
      <c r="O115" s="478">
        <f t="shared" si="30"/>
        <v>0</v>
      </c>
      <c r="P115" s="478">
        <f t="shared" si="25"/>
        <v>0</v>
      </c>
    </row>
    <row r="116" spans="2:16">
      <c r="B116" s="160" t="str">
        <f t="shared" si="26"/>
        <v/>
      </c>
      <c r="C116" s="472">
        <f>IF(D93="","-",+C115+1)</f>
        <v>2023</v>
      </c>
      <c r="D116" s="346">
        <f>IF(F115+SUM(E$99:E115)=D$92,F115,D$92-SUM(E$99:E115))</f>
        <v>254397</v>
      </c>
      <c r="E116" s="486">
        <f>IF(+J96&lt;F115,J96,D116)</f>
        <v>9232</v>
      </c>
      <c r="F116" s="485">
        <f t="shared" si="40"/>
        <v>245165</v>
      </c>
      <c r="G116" s="485">
        <f t="shared" si="41"/>
        <v>249781</v>
      </c>
      <c r="H116" s="488">
        <f t="shared" si="42"/>
        <v>36161.200788981165</v>
      </c>
      <c r="I116" s="542">
        <f t="shared" si="43"/>
        <v>36161.200788981165</v>
      </c>
      <c r="J116" s="478">
        <f t="shared" si="24"/>
        <v>0</v>
      </c>
      <c r="K116" s="478"/>
      <c r="L116" s="487"/>
      <c r="M116" s="478">
        <f t="shared" si="28"/>
        <v>0</v>
      </c>
      <c r="N116" s="487"/>
      <c r="O116" s="478">
        <f t="shared" si="30"/>
        <v>0</v>
      </c>
      <c r="P116" s="478">
        <f t="shared" si="25"/>
        <v>0</v>
      </c>
    </row>
    <row r="117" spans="2:16">
      <c r="B117" s="160" t="str">
        <f t="shared" si="26"/>
        <v/>
      </c>
      <c r="C117" s="472">
        <f>IF(D93="","-",+C116+1)</f>
        <v>2024</v>
      </c>
      <c r="D117" s="346">
        <f>IF(F116+SUM(E$99:E116)=D$92,F116,D$92-SUM(E$99:E116))</f>
        <v>245165</v>
      </c>
      <c r="E117" s="486">
        <f>IF(+J96&lt;F116,J96,D117)</f>
        <v>9232</v>
      </c>
      <c r="F117" s="485">
        <f t="shared" si="40"/>
        <v>235933</v>
      </c>
      <c r="G117" s="485">
        <f t="shared" si="41"/>
        <v>240549</v>
      </c>
      <c r="H117" s="488">
        <f t="shared" si="42"/>
        <v>35165.887367688614</v>
      </c>
      <c r="I117" s="542">
        <f t="shared" si="43"/>
        <v>35165.887367688614</v>
      </c>
      <c r="J117" s="478">
        <f t="shared" si="24"/>
        <v>0</v>
      </c>
      <c r="K117" s="478"/>
      <c r="L117" s="487"/>
      <c r="M117" s="478">
        <f t="shared" si="28"/>
        <v>0</v>
      </c>
      <c r="N117" s="487"/>
      <c r="O117" s="478">
        <f t="shared" si="30"/>
        <v>0</v>
      </c>
      <c r="P117" s="478">
        <f t="shared" si="25"/>
        <v>0</v>
      </c>
    </row>
    <row r="118" spans="2:16">
      <c r="B118" s="160" t="str">
        <f t="shared" si="26"/>
        <v/>
      </c>
      <c r="C118" s="472">
        <f>IF(D93="","-",+C117+1)</f>
        <v>2025</v>
      </c>
      <c r="D118" s="346">
        <f>IF(F117+SUM(E$99:E117)=D$92,F117,D$92-SUM(E$99:E117))</f>
        <v>235933</v>
      </c>
      <c r="E118" s="486">
        <f>IF(+J96&lt;F117,J96,D118)</f>
        <v>9232</v>
      </c>
      <c r="F118" s="485">
        <f t="shared" si="40"/>
        <v>226701</v>
      </c>
      <c r="G118" s="485">
        <f t="shared" si="41"/>
        <v>231317</v>
      </c>
      <c r="H118" s="488">
        <f t="shared" si="42"/>
        <v>34170.573946396071</v>
      </c>
      <c r="I118" s="542">
        <f t="shared" si="43"/>
        <v>34170.573946396071</v>
      </c>
      <c r="J118" s="478">
        <f t="shared" si="24"/>
        <v>0</v>
      </c>
      <c r="K118" s="478"/>
      <c r="L118" s="487"/>
      <c r="M118" s="478">
        <f t="shared" si="28"/>
        <v>0</v>
      </c>
      <c r="N118" s="487"/>
      <c r="O118" s="478">
        <f t="shared" si="30"/>
        <v>0</v>
      </c>
      <c r="P118" s="478">
        <f t="shared" si="25"/>
        <v>0</v>
      </c>
    </row>
    <row r="119" spans="2:16">
      <c r="B119" s="160" t="str">
        <f t="shared" si="26"/>
        <v/>
      </c>
      <c r="C119" s="472">
        <f>IF(D93="","-",+C118+1)</f>
        <v>2026</v>
      </c>
      <c r="D119" s="346">
        <f>IF(F118+SUM(E$99:E118)=D$92,F118,D$92-SUM(E$99:E118))</f>
        <v>226701</v>
      </c>
      <c r="E119" s="486">
        <f>IF(+J96&lt;F118,J96,D119)</f>
        <v>9232</v>
      </c>
      <c r="F119" s="485">
        <f t="shared" si="40"/>
        <v>217469</v>
      </c>
      <c r="G119" s="485">
        <f t="shared" si="41"/>
        <v>222085</v>
      </c>
      <c r="H119" s="488">
        <f t="shared" si="42"/>
        <v>33175.26052510352</v>
      </c>
      <c r="I119" s="542">
        <f t="shared" si="43"/>
        <v>33175.26052510352</v>
      </c>
      <c r="J119" s="478">
        <f t="shared" si="24"/>
        <v>0</v>
      </c>
      <c r="K119" s="478"/>
      <c r="L119" s="487"/>
      <c r="M119" s="478">
        <f t="shared" si="28"/>
        <v>0</v>
      </c>
      <c r="N119" s="487"/>
      <c r="O119" s="478">
        <f t="shared" si="30"/>
        <v>0</v>
      </c>
      <c r="P119" s="478">
        <f t="shared" si="25"/>
        <v>0</v>
      </c>
    </row>
    <row r="120" spans="2:16">
      <c r="B120" s="160" t="str">
        <f t="shared" si="26"/>
        <v/>
      </c>
      <c r="C120" s="472">
        <f>IF(D93="","-",+C119+1)</f>
        <v>2027</v>
      </c>
      <c r="D120" s="346">
        <f>IF(F119+SUM(E$99:E119)=D$92,F119,D$92-SUM(E$99:E119))</f>
        <v>217469</v>
      </c>
      <c r="E120" s="486">
        <f>IF(+J96&lt;F119,J96,D120)</f>
        <v>9232</v>
      </c>
      <c r="F120" s="485">
        <f t="shared" si="40"/>
        <v>208237</v>
      </c>
      <c r="G120" s="485">
        <f t="shared" si="41"/>
        <v>212853</v>
      </c>
      <c r="H120" s="488">
        <f t="shared" si="42"/>
        <v>32179.947103810973</v>
      </c>
      <c r="I120" s="542">
        <f t="shared" si="43"/>
        <v>32179.947103810973</v>
      </c>
      <c r="J120" s="478">
        <f t="shared" si="24"/>
        <v>0</v>
      </c>
      <c r="K120" s="478"/>
      <c r="L120" s="487"/>
      <c r="M120" s="478">
        <f t="shared" si="28"/>
        <v>0</v>
      </c>
      <c r="N120" s="487"/>
      <c r="O120" s="478">
        <f t="shared" si="30"/>
        <v>0</v>
      </c>
      <c r="P120" s="478">
        <f t="shared" si="25"/>
        <v>0</v>
      </c>
    </row>
    <row r="121" spans="2:16">
      <c r="B121" s="160" t="str">
        <f t="shared" si="26"/>
        <v/>
      </c>
      <c r="C121" s="472">
        <f>IF(D93="","-",+C120+1)</f>
        <v>2028</v>
      </c>
      <c r="D121" s="346">
        <f>IF(F120+SUM(E$99:E120)=D$92,F120,D$92-SUM(E$99:E120))</f>
        <v>208237</v>
      </c>
      <c r="E121" s="486">
        <f>IF(+J96&lt;F120,J96,D121)</f>
        <v>9232</v>
      </c>
      <c r="F121" s="485">
        <f t="shared" si="40"/>
        <v>199005</v>
      </c>
      <c r="G121" s="485">
        <f t="shared" si="41"/>
        <v>203621</v>
      </c>
      <c r="H121" s="488">
        <f t="shared" si="42"/>
        <v>31184.633682518423</v>
      </c>
      <c r="I121" s="542">
        <f t="shared" si="43"/>
        <v>31184.633682518423</v>
      </c>
      <c r="J121" s="478">
        <f t="shared" si="24"/>
        <v>0</v>
      </c>
      <c r="K121" s="478"/>
      <c r="L121" s="487"/>
      <c r="M121" s="478">
        <f t="shared" si="28"/>
        <v>0</v>
      </c>
      <c r="N121" s="487"/>
      <c r="O121" s="478">
        <f t="shared" si="30"/>
        <v>0</v>
      </c>
      <c r="P121" s="478">
        <f t="shared" si="25"/>
        <v>0</v>
      </c>
    </row>
    <row r="122" spans="2:16">
      <c r="B122" s="160" t="str">
        <f t="shared" si="26"/>
        <v/>
      </c>
      <c r="C122" s="472">
        <f>IF(D93="","-",+C121+1)</f>
        <v>2029</v>
      </c>
      <c r="D122" s="346">
        <f>IF(F121+SUM(E$99:E121)=D$92,F121,D$92-SUM(E$99:E121))</f>
        <v>199005</v>
      </c>
      <c r="E122" s="486">
        <f>IF(+J96&lt;F121,J96,D122)</f>
        <v>9232</v>
      </c>
      <c r="F122" s="485">
        <f t="shared" si="40"/>
        <v>189773</v>
      </c>
      <c r="G122" s="485">
        <f t="shared" si="41"/>
        <v>194389</v>
      </c>
      <c r="H122" s="488">
        <f t="shared" si="42"/>
        <v>30189.320261225876</v>
      </c>
      <c r="I122" s="542">
        <f t="shared" si="43"/>
        <v>30189.320261225876</v>
      </c>
      <c r="J122" s="478">
        <f t="shared" si="24"/>
        <v>0</v>
      </c>
      <c r="K122" s="478"/>
      <c r="L122" s="487"/>
      <c r="M122" s="478">
        <f t="shared" si="28"/>
        <v>0</v>
      </c>
      <c r="N122" s="487"/>
      <c r="O122" s="478">
        <f t="shared" si="30"/>
        <v>0</v>
      </c>
      <c r="P122" s="478">
        <f t="shared" si="25"/>
        <v>0</v>
      </c>
    </row>
    <row r="123" spans="2:16">
      <c r="B123" s="160" t="str">
        <f t="shared" si="26"/>
        <v/>
      </c>
      <c r="C123" s="472">
        <f>IF(D93="","-",+C122+1)</f>
        <v>2030</v>
      </c>
      <c r="D123" s="346">
        <f>IF(F122+SUM(E$99:E122)=D$92,F122,D$92-SUM(E$99:E122))</f>
        <v>189773</v>
      </c>
      <c r="E123" s="486">
        <f>IF(+J96&lt;F122,J96,D123)</f>
        <v>9232</v>
      </c>
      <c r="F123" s="485">
        <f t="shared" si="40"/>
        <v>180541</v>
      </c>
      <c r="G123" s="485">
        <f t="shared" si="41"/>
        <v>185157</v>
      </c>
      <c r="H123" s="488">
        <f t="shared" si="42"/>
        <v>29194.006839933325</v>
      </c>
      <c r="I123" s="542">
        <f t="shared" si="43"/>
        <v>29194.006839933325</v>
      </c>
      <c r="J123" s="478">
        <f t="shared" si="24"/>
        <v>0</v>
      </c>
      <c r="K123" s="478"/>
      <c r="L123" s="487"/>
      <c r="M123" s="478">
        <f t="shared" si="28"/>
        <v>0</v>
      </c>
      <c r="N123" s="487"/>
      <c r="O123" s="478">
        <f t="shared" si="30"/>
        <v>0</v>
      </c>
      <c r="P123" s="478">
        <f t="shared" si="25"/>
        <v>0</v>
      </c>
    </row>
    <row r="124" spans="2:16">
      <c r="B124" s="160" t="str">
        <f t="shared" si="26"/>
        <v/>
      </c>
      <c r="C124" s="472">
        <f>IF(D93="","-",+C123+1)</f>
        <v>2031</v>
      </c>
      <c r="D124" s="346">
        <f>IF(F123+SUM(E$99:E123)=D$92,F123,D$92-SUM(E$99:E123))</f>
        <v>180541</v>
      </c>
      <c r="E124" s="486">
        <f>IF(+J96&lt;F123,J96,D124)</f>
        <v>9232</v>
      </c>
      <c r="F124" s="485">
        <f t="shared" si="40"/>
        <v>171309</v>
      </c>
      <c r="G124" s="485">
        <f t="shared" si="41"/>
        <v>175925</v>
      </c>
      <c r="H124" s="488">
        <f t="shared" si="42"/>
        <v>28198.693418640778</v>
      </c>
      <c r="I124" s="542">
        <f t="shared" si="43"/>
        <v>28198.693418640778</v>
      </c>
      <c r="J124" s="478">
        <f t="shared" si="24"/>
        <v>0</v>
      </c>
      <c r="K124" s="478"/>
      <c r="L124" s="487"/>
      <c r="M124" s="478">
        <f t="shared" si="28"/>
        <v>0</v>
      </c>
      <c r="N124" s="487"/>
      <c r="O124" s="478">
        <f t="shared" si="30"/>
        <v>0</v>
      </c>
      <c r="P124" s="478">
        <f t="shared" si="25"/>
        <v>0</v>
      </c>
    </row>
    <row r="125" spans="2:16">
      <c r="B125" s="160" t="str">
        <f t="shared" si="26"/>
        <v/>
      </c>
      <c r="C125" s="472">
        <f>IF(D93="","-",+C124+1)</f>
        <v>2032</v>
      </c>
      <c r="D125" s="346">
        <f>IF(F124+SUM(E$99:E124)=D$92,F124,D$92-SUM(E$99:E124))</f>
        <v>171309</v>
      </c>
      <c r="E125" s="486">
        <f>IF(+J96&lt;F124,J96,D125)</f>
        <v>9232</v>
      </c>
      <c r="F125" s="485">
        <f t="shared" si="40"/>
        <v>162077</v>
      </c>
      <c r="G125" s="485">
        <f t="shared" si="41"/>
        <v>166693</v>
      </c>
      <c r="H125" s="488">
        <f t="shared" si="42"/>
        <v>27203.379997348227</v>
      </c>
      <c r="I125" s="542">
        <f t="shared" si="43"/>
        <v>27203.379997348227</v>
      </c>
      <c r="J125" s="478">
        <f t="shared" si="24"/>
        <v>0</v>
      </c>
      <c r="K125" s="478"/>
      <c r="L125" s="487"/>
      <c r="M125" s="478">
        <f t="shared" si="28"/>
        <v>0</v>
      </c>
      <c r="N125" s="487"/>
      <c r="O125" s="478">
        <f t="shared" si="30"/>
        <v>0</v>
      </c>
      <c r="P125" s="478">
        <f t="shared" si="25"/>
        <v>0</v>
      </c>
    </row>
    <row r="126" spans="2:16">
      <c r="B126" s="160" t="str">
        <f t="shared" si="26"/>
        <v/>
      </c>
      <c r="C126" s="472">
        <f>IF(D93="","-",+C125+1)</f>
        <v>2033</v>
      </c>
      <c r="D126" s="346">
        <f>IF(F125+SUM(E$99:E125)=D$92,F125,D$92-SUM(E$99:E125))</f>
        <v>162077</v>
      </c>
      <c r="E126" s="486">
        <f>IF(+J96&lt;F125,J96,D126)</f>
        <v>9232</v>
      </c>
      <c r="F126" s="485">
        <f t="shared" si="40"/>
        <v>152845</v>
      </c>
      <c r="G126" s="485">
        <f t="shared" si="41"/>
        <v>157461</v>
      </c>
      <c r="H126" s="488">
        <f t="shared" si="42"/>
        <v>26208.06657605568</v>
      </c>
      <c r="I126" s="542">
        <f t="shared" si="43"/>
        <v>26208.06657605568</v>
      </c>
      <c r="J126" s="478">
        <f t="shared" si="24"/>
        <v>0</v>
      </c>
      <c r="K126" s="478"/>
      <c r="L126" s="487"/>
      <c r="M126" s="478">
        <f t="shared" si="28"/>
        <v>0</v>
      </c>
      <c r="N126" s="487"/>
      <c r="O126" s="478">
        <f t="shared" si="30"/>
        <v>0</v>
      </c>
      <c r="P126" s="478">
        <f t="shared" si="25"/>
        <v>0</v>
      </c>
    </row>
    <row r="127" spans="2:16">
      <c r="B127" s="160" t="str">
        <f t="shared" si="26"/>
        <v/>
      </c>
      <c r="C127" s="472">
        <f>IF(D93="","-",+C126+1)</f>
        <v>2034</v>
      </c>
      <c r="D127" s="346">
        <f>IF(F126+SUM(E$99:E126)=D$92,F126,D$92-SUM(E$99:E126))</f>
        <v>152845</v>
      </c>
      <c r="E127" s="486">
        <f>IF(+J96&lt;F126,J96,D127)</f>
        <v>9232</v>
      </c>
      <c r="F127" s="485">
        <f t="shared" si="40"/>
        <v>143613</v>
      </c>
      <c r="G127" s="485">
        <f t="shared" si="41"/>
        <v>148229</v>
      </c>
      <c r="H127" s="488">
        <f t="shared" si="42"/>
        <v>25212.75315476313</v>
      </c>
      <c r="I127" s="542">
        <f t="shared" si="43"/>
        <v>25212.75315476313</v>
      </c>
      <c r="J127" s="478">
        <f t="shared" si="24"/>
        <v>0</v>
      </c>
      <c r="K127" s="478"/>
      <c r="L127" s="487"/>
      <c r="M127" s="478">
        <f t="shared" si="28"/>
        <v>0</v>
      </c>
      <c r="N127" s="487"/>
      <c r="O127" s="478">
        <f t="shared" si="30"/>
        <v>0</v>
      </c>
      <c r="P127" s="478">
        <f t="shared" si="25"/>
        <v>0</v>
      </c>
    </row>
    <row r="128" spans="2:16">
      <c r="B128" s="160" t="str">
        <f t="shared" si="26"/>
        <v/>
      </c>
      <c r="C128" s="472">
        <f>IF(D93="","-",+C127+1)</f>
        <v>2035</v>
      </c>
      <c r="D128" s="346">
        <f>IF(F127+SUM(E$99:E127)=D$92,F127,D$92-SUM(E$99:E127))</f>
        <v>143613</v>
      </c>
      <c r="E128" s="486">
        <f>IF(+J96&lt;F127,J96,D128)</f>
        <v>9232</v>
      </c>
      <c r="F128" s="485">
        <f t="shared" si="40"/>
        <v>134381</v>
      </c>
      <c r="G128" s="485">
        <f t="shared" si="41"/>
        <v>138997</v>
      </c>
      <c r="H128" s="488">
        <f t="shared" si="42"/>
        <v>24217.439733470579</v>
      </c>
      <c r="I128" s="542">
        <f t="shared" si="43"/>
        <v>24217.439733470579</v>
      </c>
      <c r="J128" s="478">
        <f t="shared" si="24"/>
        <v>0</v>
      </c>
      <c r="K128" s="478"/>
      <c r="L128" s="487"/>
      <c r="M128" s="478">
        <f t="shared" si="28"/>
        <v>0</v>
      </c>
      <c r="N128" s="487"/>
      <c r="O128" s="478">
        <f t="shared" si="30"/>
        <v>0</v>
      </c>
      <c r="P128" s="478">
        <f t="shared" si="25"/>
        <v>0</v>
      </c>
    </row>
    <row r="129" spans="2:16">
      <c r="B129" s="160" t="str">
        <f t="shared" si="26"/>
        <v/>
      </c>
      <c r="C129" s="472">
        <f>IF(D93="","-",+C128+1)</f>
        <v>2036</v>
      </c>
      <c r="D129" s="346">
        <f>IF(F128+SUM(E$99:E128)=D$92,F128,D$92-SUM(E$99:E128))</f>
        <v>134381</v>
      </c>
      <c r="E129" s="486">
        <f>IF(+J96&lt;F128,J96,D129)</f>
        <v>9232</v>
      </c>
      <c r="F129" s="485">
        <f t="shared" si="40"/>
        <v>125149</v>
      </c>
      <c r="G129" s="485">
        <f t="shared" si="41"/>
        <v>129765</v>
      </c>
      <c r="H129" s="488">
        <f t="shared" si="42"/>
        <v>23222.126312178032</v>
      </c>
      <c r="I129" s="542">
        <f t="shared" si="43"/>
        <v>23222.126312178032</v>
      </c>
      <c r="J129" s="478">
        <f t="shared" si="24"/>
        <v>0</v>
      </c>
      <c r="K129" s="478"/>
      <c r="L129" s="487"/>
      <c r="M129" s="478">
        <f t="shared" si="28"/>
        <v>0</v>
      </c>
      <c r="N129" s="487"/>
      <c r="O129" s="478">
        <f t="shared" si="30"/>
        <v>0</v>
      </c>
      <c r="P129" s="478">
        <f t="shared" si="25"/>
        <v>0</v>
      </c>
    </row>
    <row r="130" spans="2:16">
      <c r="B130" s="160" t="str">
        <f t="shared" si="26"/>
        <v/>
      </c>
      <c r="C130" s="472">
        <f>IF(D93="","-",+C129+1)</f>
        <v>2037</v>
      </c>
      <c r="D130" s="346">
        <f>IF(F129+SUM(E$99:E129)=D$92,F129,D$92-SUM(E$99:E129))</f>
        <v>125149</v>
      </c>
      <c r="E130" s="486">
        <f>IF(+J96&lt;F129,J96,D130)</f>
        <v>9232</v>
      </c>
      <c r="F130" s="485">
        <f t="shared" si="40"/>
        <v>115917</v>
      </c>
      <c r="G130" s="485">
        <f t="shared" si="41"/>
        <v>120533</v>
      </c>
      <c r="H130" s="488">
        <f t="shared" si="42"/>
        <v>22226.812890885485</v>
      </c>
      <c r="I130" s="542">
        <f t="shared" si="43"/>
        <v>22226.812890885485</v>
      </c>
      <c r="J130" s="478">
        <f t="shared" si="24"/>
        <v>0</v>
      </c>
      <c r="K130" s="478"/>
      <c r="L130" s="487"/>
      <c r="M130" s="478">
        <f t="shared" si="28"/>
        <v>0</v>
      </c>
      <c r="N130" s="487"/>
      <c r="O130" s="478">
        <f t="shared" si="30"/>
        <v>0</v>
      </c>
      <c r="P130" s="478">
        <f t="shared" si="25"/>
        <v>0</v>
      </c>
    </row>
    <row r="131" spans="2:16">
      <c r="B131" s="160" t="str">
        <f t="shared" si="26"/>
        <v/>
      </c>
      <c r="C131" s="472">
        <f>IF(D93="","-",+C130+1)</f>
        <v>2038</v>
      </c>
      <c r="D131" s="346">
        <f>IF(F130+SUM(E$99:E130)=D$92,F130,D$92-SUM(E$99:E130))</f>
        <v>115917</v>
      </c>
      <c r="E131" s="486">
        <f>IF(+J96&lt;F130,J96,D131)</f>
        <v>9232</v>
      </c>
      <c r="F131" s="485">
        <f t="shared" ref="F131:F154" si="44">+D131-E131</f>
        <v>106685</v>
      </c>
      <c r="G131" s="485">
        <f t="shared" ref="G131:G154" si="45">+(F131+D131)/2</f>
        <v>111301</v>
      </c>
      <c r="H131" s="488">
        <f t="shared" si="42"/>
        <v>21231.499469592934</v>
      </c>
      <c r="I131" s="542">
        <f t="shared" si="43"/>
        <v>21231.499469592934</v>
      </c>
      <c r="J131" s="478">
        <f t="shared" ref="J131:J154" si="46">+I131-H131</f>
        <v>0</v>
      </c>
      <c r="K131" s="478"/>
      <c r="L131" s="487"/>
      <c r="M131" s="478">
        <f t="shared" si="28"/>
        <v>0</v>
      </c>
      <c r="N131" s="487"/>
      <c r="O131" s="478">
        <f t="shared" si="30"/>
        <v>0</v>
      </c>
      <c r="P131" s="478">
        <f t="shared" ref="P131:P154" si="47">+O131-M131</f>
        <v>0</v>
      </c>
    </row>
    <row r="132" spans="2:16">
      <c r="B132" s="160" t="str">
        <f t="shared" si="26"/>
        <v/>
      </c>
      <c r="C132" s="472">
        <f>IF(D93="","-",+C131+1)</f>
        <v>2039</v>
      </c>
      <c r="D132" s="346">
        <f>IF(F131+SUM(E$99:E131)=D$92,F131,D$92-SUM(E$99:E131))</f>
        <v>106685</v>
      </c>
      <c r="E132" s="486">
        <f>IF(+J96&lt;F131,J96,D132)</f>
        <v>9232</v>
      </c>
      <c r="F132" s="485">
        <f t="shared" si="44"/>
        <v>97453</v>
      </c>
      <c r="G132" s="485">
        <f t="shared" si="45"/>
        <v>102069</v>
      </c>
      <c r="H132" s="488">
        <f t="shared" si="42"/>
        <v>20236.186048300384</v>
      </c>
      <c r="I132" s="542">
        <f t="shared" si="43"/>
        <v>20236.186048300384</v>
      </c>
      <c r="J132" s="478">
        <f t="shared" si="46"/>
        <v>0</v>
      </c>
      <c r="K132" s="478"/>
      <c r="L132" s="487"/>
      <c r="M132" s="478">
        <f t="shared" si="28"/>
        <v>0</v>
      </c>
      <c r="N132" s="487"/>
      <c r="O132" s="478">
        <f t="shared" si="30"/>
        <v>0</v>
      </c>
      <c r="P132" s="478">
        <f t="shared" si="47"/>
        <v>0</v>
      </c>
    </row>
    <row r="133" spans="2:16">
      <c r="B133" s="160" t="str">
        <f t="shared" si="26"/>
        <v/>
      </c>
      <c r="C133" s="472">
        <f>IF(D93="","-",+C132+1)</f>
        <v>2040</v>
      </c>
      <c r="D133" s="346">
        <f>IF(F132+SUM(E$99:E132)=D$92,F132,D$92-SUM(E$99:E132))</f>
        <v>97453</v>
      </c>
      <c r="E133" s="486">
        <f>IF(+J96&lt;F132,J96,D133)</f>
        <v>9232</v>
      </c>
      <c r="F133" s="485">
        <f t="shared" si="44"/>
        <v>88221</v>
      </c>
      <c r="G133" s="485">
        <f t="shared" si="45"/>
        <v>92837</v>
      </c>
      <c r="H133" s="488">
        <f t="shared" si="42"/>
        <v>19240.872627007837</v>
      </c>
      <c r="I133" s="542">
        <f t="shared" si="43"/>
        <v>19240.872627007837</v>
      </c>
      <c r="J133" s="478">
        <f t="shared" si="46"/>
        <v>0</v>
      </c>
      <c r="K133" s="478"/>
      <c r="L133" s="487"/>
      <c r="M133" s="478">
        <f t="shared" si="28"/>
        <v>0</v>
      </c>
      <c r="N133" s="487"/>
      <c r="O133" s="478">
        <f t="shared" si="30"/>
        <v>0</v>
      </c>
      <c r="P133" s="478">
        <f t="shared" si="47"/>
        <v>0</v>
      </c>
    </row>
    <row r="134" spans="2:16">
      <c r="B134" s="160" t="str">
        <f t="shared" si="26"/>
        <v/>
      </c>
      <c r="C134" s="472">
        <f>IF(D93="","-",+C133+1)</f>
        <v>2041</v>
      </c>
      <c r="D134" s="346">
        <f>IF(F133+SUM(E$99:E133)=D$92,F133,D$92-SUM(E$99:E133))</f>
        <v>88221</v>
      </c>
      <c r="E134" s="486">
        <f>IF(+J96&lt;F133,J96,D134)</f>
        <v>9232</v>
      </c>
      <c r="F134" s="485">
        <f t="shared" si="44"/>
        <v>78989</v>
      </c>
      <c r="G134" s="485">
        <f t="shared" si="45"/>
        <v>83605</v>
      </c>
      <c r="H134" s="488">
        <f t="shared" si="42"/>
        <v>18245.55920571529</v>
      </c>
      <c r="I134" s="542">
        <f t="shared" si="43"/>
        <v>18245.55920571529</v>
      </c>
      <c r="J134" s="478">
        <f t="shared" si="46"/>
        <v>0</v>
      </c>
      <c r="K134" s="478"/>
      <c r="L134" s="487"/>
      <c r="M134" s="478">
        <f t="shared" ref="M134:M154" si="48">IF(L134&lt;&gt;0,+H134-L134,0)</f>
        <v>0</v>
      </c>
      <c r="N134" s="487"/>
      <c r="O134" s="478">
        <f t="shared" ref="O134:O154" si="49">IF(N134&lt;&gt;0,+I134-N134,0)</f>
        <v>0</v>
      </c>
      <c r="P134" s="478">
        <f t="shared" si="47"/>
        <v>0</v>
      </c>
    </row>
    <row r="135" spans="2:16">
      <c r="B135" s="160" t="str">
        <f t="shared" si="26"/>
        <v/>
      </c>
      <c r="C135" s="472">
        <f>IF(D93="","-",+C134+1)</f>
        <v>2042</v>
      </c>
      <c r="D135" s="346">
        <f>IF(F134+SUM(E$99:E134)=D$92,F134,D$92-SUM(E$99:E134))</f>
        <v>78989</v>
      </c>
      <c r="E135" s="486">
        <f>IF(+J96&lt;F134,J96,D135)</f>
        <v>9232</v>
      </c>
      <c r="F135" s="485">
        <f t="shared" si="44"/>
        <v>69757</v>
      </c>
      <c r="G135" s="485">
        <f t="shared" si="45"/>
        <v>74373</v>
      </c>
      <c r="H135" s="488">
        <f t="shared" si="42"/>
        <v>17250.245784422739</v>
      </c>
      <c r="I135" s="542">
        <f t="shared" si="43"/>
        <v>17250.245784422739</v>
      </c>
      <c r="J135" s="478">
        <f t="shared" si="46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47"/>
        <v>0</v>
      </c>
    </row>
    <row r="136" spans="2:16">
      <c r="B136" s="160" t="str">
        <f t="shared" si="26"/>
        <v/>
      </c>
      <c r="C136" s="472">
        <f>IF(D93="","-",+C135+1)</f>
        <v>2043</v>
      </c>
      <c r="D136" s="346">
        <f>IF(F135+SUM(E$99:E135)=D$92,F135,D$92-SUM(E$99:E135))</f>
        <v>69757</v>
      </c>
      <c r="E136" s="486">
        <f>IF(+J96&lt;F135,J96,D136)</f>
        <v>9232</v>
      </c>
      <c r="F136" s="485">
        <f t="shared" si="44"/>
        <v>60525</v>
      </c>
      <c r="G136" s="485">
        <f t="shared" si="45"/>
        <v>65141</v>
      </c>
      <c r="H136" s="488">
        <f t="shared" si="42"/>
        <v>16254.93236313019</v>
      </c>
      <c r="I136" s="542">
        <f t="shared" si="43"/>
        <v>16254.93236313019</v>
      </c>
      <c r="J136" s="478">
        <f t="shared" si="46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47"/>
        <v>0</v>
      </c>
    </row>
    <row r="137" spans="2:16">
      <c r="B137" s="160" t="str">
        <f t="shared" si="26"/>
        <v/>
      </c>
      <c r="C137" s="472">
        <f>IF(D93="","-",+C136+1)</f>
        <v>2044</v>
      </c>
      <c r="D137" s="346">
        <f>IF(F136+SUM(E$99:E136)=D$92,F136,D$92-SUM(E$99:E136))</f>
        <v>60525</v>
      </c>
      <c r="E137" s="486">
        <f>IF(+J96&lt;F136,J96,D137)</f>
        <v>9232</v>
      </c>
      <c r="F137" s="485">
        <f t="shared" si="44"/>
        <v>51293</v>
      </c>
      <c r="G137" s="485">
        <f t="shared" si="45"/>
        <v>55909</v>
      </c>
      <c r="H137" s="488">
        <f t="shared" si="42"/>
        <v>15259.618941837642</v>
      </c>
      <c r="I137" s="542">
        <f t="shared" si="43"/>
        <v>15259.618941837642</v>
      </c>
      <c r="J137" s="478">
        <f t="shared" si="46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47"/>
        <v>0</v>
      </c>
    </row>
    <row r="138" spans="2:16">
      <c r="B138" s="160" t="str">
        <f t="shared" si="26"/>
        <v/>
      </c>
      <c r="C138" s="472">
        <f>IF(D93="","-",+C137+1)</f>
        <v>2045</v>
      </c>
      <c r="D138" s="346">
        <f>IF(F137+SUM(E$99:E137)=D$92,F137,D$92-SUM(E$99:E137))</f>
        <v>51293</v>
      </c>
      <c r="E138" s="486">
        <f>IF(+J96&lt;F137,J96,D138)</f>
        <v>9232</v>
      </c>
      <c r="F138" s="485">
        <f t="shared" si="44"/>
        <v>42061</v>
      </c>
      <c r="G138" s="485">
        <f t="shared" si="45"/>
        <v>46677</v>
      </c>
      <c r="H138" s="488">
        <f t="shared" si="42"/>
        <v>14264.305520545093</v>
      </c>
      <c r="I138" s="542">
        <f t="shared" si="43"/>
        <v>14264.305520545093</v>
      </c>
      <c r="J138" s="478">
        <f t="shared" si="46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47"/>
        <v>0</v>
      </c>
    </row>
    <row r="139" spans="2:16">
      <c r="B139" s="160" t="str">
        <f t="shared" si="26"/>
        <v/>
      </c>
      <c r="C139" s="472">
        <f>IF(D93="","-",+C138+1)</f>
        <v>2046</v>
      </c>
      <c r="D139" s="346">
        <f>IF(F138+SUM(E$99:E138)=D$92,F138,D$92-SUM(E$99:E138))</f>
        <v>42061</v>
      </c>
      <c r="E139" s="486">
        <f>IF(+J96&lt;F138,J96,D139)</f>
        <v>9232</v>
      </c>
      <c r="F139" s="485">
        <f t="shared" si="44"/>
        <v>32829</v>
      </c>
      <c r="G139" s="485">
        <f t="shared" si="45"/>
        <v>37445</v>
      </c>
      <c r="H139" s="488">
        <f t="shared" si="42"/>
        <v>13268.992099252544</v>
      </c>
      <c r="I139" s="542">
        <f t="shared" si="43"/>
        <v>13268.992099252544</v>
      </c>
      <c r="J139" s="478">
        <f t="shared" si="46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47"/>
        <v>0</v>
      </c>
    </row>
    <row r="140" spans="2:16">
      <c r="B140" s="160" t="str">
        <f t="shared" si="26"/>
        <v/>
      </c>
      <c r="C140" s="472">
        <f>IF(D93="","-",+C139+1)</f>
        <v>2047</v>
      </c>
      <c r="D140" s="346">
        <f>IF(F139+SUM(E$99:E139)=D$92,F139,D$92-SUM(E$99:E139))</f>
        <v>32829</v>
      </c>
      <c r="E140" s="486">
        <f>IF(+J96&lt;F139,J96,D140)</f>
        <v>9232</v>
      </c>
      <c r="F140" s="485">
        <f t="shared" si="44"/>
        <v>23597</v>
      </c>
      <c r="G140" s="485">
        <f t="shared" si="45"/>
        <v>28213</v>
      </c>
      <c r="H140" s="488">
        <f t="shared" si="42"/>
        <v>12273.678677959995</v>
      </c>
      <c r="I140" s="542">
        <f t="shared" si="43"/>
        <v>12273.678677959995</v>
      </c>
      <c r="J140" s="478">
        <f t="shared" si="46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47"/>
        <v>0</v>
      </c>
    </row>
    <row r="141" spans="2:16">
      <c r="B141" s="160" t="str">
        <f t="shared" si="26"/>
        <v/>
      </c>
      <c r="C141" s="472">
        <f>IF(D93="","-",+C140+1)</f>
        <v>2048</v>
      </c>
      <c r="D141" s="346">
        <f>IF(F140+SUM(E$99:E140)=D$92,F140,D$92-SUM(E$99:E140))</f>
        <v>23597</v>
      </c>
      <c r="E141" s="486">
        <f>IF(+J96&lt;F140,J96,D141)</f>
        <v>9232</v>
      </c>
      <c r="F141" s="485">
        <f t="shared" si="44"/>
        <v>14365</v>
      </c>
      <c r="G141" s="485">
        <f t="shared" si="45"/>
        <v>18981</v>
      </c>
      <c r="H141" s="488">
        <f t="shared" si="42"/>
        <v>11278.365256667446</v>
      </c>
      <c r="I141" s="542">
        <f t="shared" si="43"/>
        <v>11278.365256667446</v>
      </c>
      <c r="J141" s="478">
        <f t="shared" si="46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47"/>
        <v>0</v>
      </c>
    </row>
    <row r="142" spans="2:16">
      <c r="B142" s="160" t="str">
        <f t="shared" si="26"/>
        <v/>
      </c>
      <c r="C142" s="472">
        <f>IF(D93="","-",+C141+1)</f>
        <v>2049</v>
      </c>
      <c r="D142" s="346">
        <f>IF(F141+SUM(E$99:E141)=D$92,F141,D$92-SUM(E$99:E141))</f>
        <v>14365</v>
      </c>
      <c r="E142" s="486">
        <f>IF(+J96&lt;F141,J96,D142)</f>
        <v>9232</v>
      </c>
      <c r="F142" s="485">
        <f t="shared" si="44"/>
        <v>5133</v>
      </c>
      <c r="G142" s="485">
        <f t="shared" si="45"/>
        <v>9749</v>
      </c>
      <c r="H142" s="488">
        <f t="shared" si="42"/>
        <v>10283.051835374898</v>
      </c>
      <c r="I142" s="542">
        <f t="shared" si="43"/>
        <v>10283.051835374898</v>
      </c>
      <c r="J142" s="478">
        <f t="shared" si="46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47"/>
        <v>0</v>
      </c>
    </row>
    <row r="143" spans="2:16">
      <c r="B143" s="160" t="str">
        <f t="shared" si="26"/>
        <v/>
      </c>
      <c r="C143" s="472">
        <f>IF(D93="","-",+C142+1)</f>
        <v>2050</v>
      </c>
      <c r="D143" s="346">
        <f>IF(F142+SUM(E$99:E142)=D$92,F142,D$92-SUM(E$99:E142))</f>
        <v>5133</v>
      </c>
      <c r="E143" s="486">
        <f>IF(+J96&lt;F142,J96,D143)</f>
        <v>5133</v>
      </c>
      <c r="F143" s="485">
        <f t="shared" si="44"/>
        <v>0</v>
      </c>
      <c r="G143" s="485">
        <f t="shared" si="45"/>
        <v>2566.5</v>
      </c>
      <c r="H143" s="488">
        <f t="shared" si="42"/>
        <v>5409.697562364312</v>
      </c>
      <c r="I143" s="542">
        <f t="shared" si="43"/>
        <v>5409.697562364312</v>
      </c>
      <c r="J143" s="478">
        <f t="shared" si="46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47"/>
        <v>0</v>
      </c>
    </row>
    <row r="144" spans="2:16">
      <c r="B144" s="160" t="str">
        <f t="shared" si="26"/>
        <v/>
      </c>
      <c r="C144" s="472">
        <f>IF(D93="","-",+C143+1)</f>
        <v>2051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4"/>
        <v>0</v>
      </c>
      <c r="G144" s="485">
        <f t="shared" si="45"/>
        <v>0</v>
      </c>
      <c r="H144" s="488">
        <f t="shared" si="42"/>
        <v>0</v>
      </c>
      <c r="I144" s="542">
        <f t="shared" si="43"/>
        <v>0</v>
      </c>
      <c r="J144" s="478">
        <f t="shared" si="46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47"/>
        <v>0</v>
      </c>
    </row>
    <row r="145" spans="2:16">
      <c r="B145" s="160" t="str">
        <f t="shared" si="26"/>
        <v/>
      </c>
      <c r="C145" s="472">
        <f>IF(D93="","-",+C144+1)</f>
        <v>2052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4"/>
        <v>0</v>
      </c>
      <c r="G145" s="485">
        <f t="shared" si="45"/>
        <v>0</v>
      </c>
      <c r="H145" s="488">
        <f t="shared" si="42"/>
        <v>0</v>
      </c>
      <c r="I145" s="542">
        <f t="shared" si="43"/>
        <v>0</v>
      </c>
      <c r="J145" s="478">
        <f t="shared" si="46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47"/>
        <v>0</v>
      </c>
    </row>
    <row r="146" spans="2:16">
      <c r="B146" s="160" t="str">
        <f t="shared" si="26"/>
        <v/>
      </c>
      <c r="C146" s="472">
        <f>IF(D93="","-",+C145+1)</f>
        <v>2053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4"/>
        <v>0</v>
      </c>
      <c r="G146" s="485">
        <f t="shared" si="45"/>
        <v>0</v>
      </c>
      <c r="H146" s="488">
        <f t="shared" si="42"/>
        <v>0</v>
      </c>
      <c r="I146" s="542">
        <f t="shared" si="43"/>
        <v>0</v>
      </c>
      <c r="J146" s="478">
        <f t="shared" si="46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47"/>
        <v>0</v>
      </c>
    </row>
    <row r="147" spans="2:16">
      <c r="B147" s="160" t="str">
        <f t="shared" si="26"/>
        <v/>
      </c>
      <c r="C147" s="472">
        <f>IF(D93="","-",+C146+1)</f>
        <v>2054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4"/>
        <v>0</v>
      </c>
      <c r="G147" s="485">
        <f t="shared" si="45"/>
        <v>0</v>
      </c>
      <c r="H147" s="488">
        <f t="shared" si="42"/>
        <v>0</v>
      </c>
      <c r="I147" s="542">
        <f t="shared" si="43"/>
        <v>0</v>
      </c>
      <c r="J147" s="478">
        <f t="shared" si="46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47"/>
        <v>0</v>
      </c>
    </row>
    <row r="148" spans="2:16">
      <c r="B148" s="160" t="str">
        <f t="shared" si="26"/>
        <v/>
      </c>
      <c r="C148" s="472">
        <f>IF(D93="","-",+C147+1)</f>
        <v>2055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4"/>
        <v>0</v>
      </c>
      <c r="G148" s="485">
        <f t="shared" si="45"/>
        <v>0</v>
      </c>
      <c r="H148" s="488">
        <f t="shared" si="42"/>
        <v>0</v>
      </c>
      <c r="I148" s="542">
        <f t="shared" si="43"/>
        <v>0</v>
      </c>
      <c r="J148" s="478">
        <f t="shared" si="46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47"/>
        <v>0</v>
      </c>
    </row>
    <row r="149" spans="2:16">
      <c r="B149" s="160" t="str">
        <f t="shared" si="26"/>
        <v/>
      </c>
      <c r="C149" s="472">
        <f>IF(D93="","-",+C148+1)</f>
        <v>2056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4"/>
        <v>0</v>
      </c>
      <c r="G149" s="485">
        <f t="shared" si="45"/>
        <v>0</v>
      </c>
      <c r="H149" s="488">
        <f t="shared" si="42"/>
        <v>0</v>
      </c>
      <c r="I149" s="542">
        <f t="shared" si="43"/>
        <v>0</v>
      </c>
      <c r="J149" s="478">
        <f t="shared" si="46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47"/>
        <v>0</v>
      </c>
    </row>
    <row r="150" spans="2:16">
      <c r="B150" s="160" t="str">
        <f t="shared" si="26"/>
        <v/>
      </c>
      <c r="C150" s="472">
        <f>IF(D93="","-",+C149+1)</f>
        <v>2057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4"/>
        <v>0</v>
      </c>
      <c r="G150" s="485">
        <f t="shared" si="45"/>
        <v>0</v>
      </c>
      <c r="H150" s="488">
        <f t="shared" si="42"/>
        <v>0</v>
      </c>
      <c r="I150" s="542">
        <f t="shared" si="43"/>
        <v>0</v>
      </c>
      <c r="J150" s="478">
        <f t="shared" si="46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47"/>
        <v>0</v>
      </c>
    </row>
    <row r="151" spans="2:16">
      <c r="B151" s="160" t="str">
        <f t="shared" si="26"/>
        <v/>
      </c>
      <c r="C151" s="472">
        <f>IF(D93="","-",+C150+1)</f>
        <v>2058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4"/>
        <v>0</v>
      </c>
      <c r="G151" s="485">
        <f t="shared" si="45"/>
        <v>0</v>
      </c>
      <c r="H151" s="488">
        <f t="shared" si="42"/>
        <v>0</v>
      </c>
      <c r="I151" s="542">
        <f t="shared" si="43"/>
        <v>0</v>
      </c>
      <c r="J151" s="478">
        <f t="shared" si="46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47"/>
        <v>0</v>
      </c>
    </row>
    <row r="152" spans="2:16">
      <c r="B152" s="160" t="str">
        <f t="shared" si="26"/>
        <v/>
      </c>
      <c r="C152" s="472">
        <f>IF(D93="","-",+C151+1)</f>
        <v>2059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4"/>
        <v>0</v>
      </c>
      <c r="G152" s="485">
        <f t="shared" si="45"/>
        <v>0</v>
      </c>
      <c r="H152" s="488">
        <f t="shared" si="42"/>
        <v>0</v>
      </c>
      <c r="I152" s="542">
        <f t="shared" si="43"/>
        <v>0</v>
      </c>
      <c r="J152" s="478">
        <f t="shared" si="46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47"/>
        <v>0</v>
      </c>
    </row>
    <row r="153" spans="2:16">
      <c r="B153" s="160" t="str">
        <f t="shared" si="26"/>
        <v/>
      </c>
      <c r="C153" s="472">
        <f>IF(D93="","-",+C152+1)</f>
        <v>2060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4"/>
        <v>0</v>
      </c>
      <c r="G153" s="485">
        <f t="shared" si="45"/>
        <v>0</v>
      </c>
      <c r="H153" s="488">
        <f t="shared" si="42"/>
        <v>0</v>
      </c>
      <c r="I153" s="542">
        <f t="shared" si="43"/>
        <v>0</v>
      </c>
      <c r="J153" s="478">
        <f t="shared" si="46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47"/>
        <v>0</v>
      </c>
    </row>
    <row r="154" spans="2:16" ht="13.5" thickBot="1">
      <c r="B154" s="160" t="str">
        <f t="shared" si="26"/>
        <v/>
      </c>
      <c r="C154" s="489">
        <f>IF(D93="","-",+C153+1)</f>
        <v>2061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4"/>
        <v>0</v>
      </c>
      <c r="G154" s="490">
        <f t="shared" si="45"/>
        <v>0</v>
      </c>
      <c r="H154" s="492">
        <f t="shared" si="42"/>
        <v>0</v>
      </c>
      <c r="I154" s="545">
        <f t="shared" si="43"/>
        <v>0</v>
      </c>
      <c r="J154" s="495">
        <f t="shared" si="46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47"/>
        <v>0</v>
      </c>
    </row>
    <row r="155" spans="2:16">
      <c r="C155" s="346" t="s">
        <v>77</v>
      </c>
      <c r="D155" s="347"/>
      <c r="E155" s="347">
        <f>SUM(E99:E154)</f>
        <v>387742</v>
      </c>
      <c r="F155" s="347"/>
      <c r="G155" s="347"/>
      <c r="H155" s="347">
        <f>SUM(H99:H154)</f>
        <v>1455601.5377821657</v>
      </c>
      <c r="I155" s="347">
        <f>SUM(I99:I154)</f>
        <v>1455601.5377821657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8" priority="1" stopIfTrue="1" operator="equal">
      <formula>$I$10</formula>
    </cfRule>
  </conditionalFormatting>
  <conditionalFormatting sqref="C99:C154">
    <cfRule type="cellIs" dxfId="57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ignoredErrors>
    <ignoredError sqref="M101 O10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4"/>
  <dimension ref="A1:P162"/>
  <sheetViews>
    <sheetView view="pageBreakPreview" zoomScale="75" zoomScaleNormal="100" workbookViewId="0">
      <selection activeCell="G26" sqref="G26"/>
    </sheetView>
  </sheetViews>
  <sheetFormatPr defaultColWidth="8.7109375" defaultRowHeight="12.75" customHeight="1"/>
  <cols>
    <col min="1" max="1" width="4.7109375" style="148" customWidth="1"/>
    <col min="2" max="2" width="6.7109375" style="148" customWidth="1"/>
    <col min="3" max="3" width="23.28515625" style="148" customWidth="1"/>
    <col min="4" max="8" width="17.7109375" style="148" customWidth="1"/>
    <col min="9" max="9" width="20.42578125" style="148" customWidth="1"/>
    <col min="10" max="10" width="16.42578125" style="148" customWidth="1"/>
    <col min="11" max="11" width="17.7109375" style="148" customWidth="1"/>
    <col min="12" max="12" width="16.140625" style="148" customWidth="1"/>
    <col min="13" max="13" width="17.7109375" style="148" customWidth="1"/>
    <col min="14" max="14" width="16.7109375" style="148" customWidth="1"/>
    <col min="15" max="15" width="16.85546875" style="148" customWidth="1"/>
    <col min="16" max="16" width="24.42578125" style="148" customWidth="1"/>
    <col min="17" max="17" width="9.140625" style="148" customWidth="1"/>
    <col min="18" max="22" width="8.7109375" style="148"/>
    <col min="23" max="23" width="9.140625" style="148" customWidth="1"/>
    <col min="24" max="16384" width="8.7109375" style="148"/>
  </cols>
  <sheetData>
    <row r="1" spans="1:16" ht="20.25">
      <c r="A1" s="415" t="s">
        <v>147</v>
      </c>
      <c r="B1" s="232"/>
      <c r="C1" s="311"/>
      <c r="D1" s="240"/>
      <c r="E1" s="232"/>
      <c r="F1" s="338"/>
      <c r="G1" s="232"/>
      <c r="H1" s="241"/>
      <c r="J1" s="195"/>
      <c r="K1" s="416"/>
      <c r="L1" s="416"/>
      <c r="M1" s="416"/>
      <c r="P1" s="417" t="str">
        <f ca="1">"PSO Project "&amp;RIGHT(MID(CELL("filename",$A$1),FIND("]",CELL("filename",$A$1))+1,256),1)&amp;" of "&amp;COUNT('P.001:P.xyz - blank'!$P$3)-1</f>
        <v>PSO Project 6 of 31</v>
      </c>
    </row>
    <row r="2" spans="1:16" ht="18">
      <c r="B2" s="232"/>
      <c r="C2" s="232"/>
      <c r="D2" s="240"/>
      <c r="E2" s="232"/>
      <c r="F2" s="232"/>
      <c r="G2" s="232"/>
      <c r="H2" s="241"/>
      <c r="I2" s="232"/>
      <c r="J2" s="242"/>
      <c r="K2" s="232"/>
      <c r="L2" s="232"/>
      <c r="M2" s="232"/>
      <c r="N2" s="232"/>
      <c r="P2" s="418" t="s">
        <v>150</v>
      </c>
    </row>
    <row r="3" spans="1:16" ht="18.75">
      <c r="B3" s="302" t="s">
        <v>42</v>
      </c>
      <c r="C3" s="303" t="s">
        <v>43</v>
      </c>
      <c r="D3" s="240"/>
      <c r="E3" s="232"/>
      <c r="F3" s="232"/>
      <c r="G3" s="232"/>
      <c r="H3" s="241"/>
      <c r="I3" s="241"/>
      <c r="J3" s="347"/>
      <c r="K3" s="241"/>
      <c r="L3" s="241"/>
      <c r="M3" s="241"/>
      <c r="N3" s="241"/>
      <c r="O3" s="232"/>
      <c r="P3" s="549">
        <v>1</v>
      </c>
    </row>
    <row r="4" spans="1:16" ht="15.75" thickBot="1">
      <c r="C4" s="301"/>
      <c r="D4" s="240"/>
      <c r="E4" s="232"/>
      <c r="F4" s="232"/>
      <c r="G4" s="232"/>
      <c r="H4" s="241"/>
      <c r="I4" s="241"/>
      <c r="J4" s="347"/>
      <c r="K4" s="241"/>
      <c r="L4" s="241"/>
      <c r="M4" s="241"/>
      <c r="N4" s="241"/>
      <c r="O4" s="232"/>
      <c r="P4" s="232"/>
    </row>
    <row r="5" spans="1:16" ht="15">
      <c r="C5" s="420" t="s">
        <v>44</v>
      </c>
      <c r="D5" s="240"/>
      <c r="E5" s="232"/>
      <c r="F5" s="232"/>
      <c r="G5" s="421"/>
      <c r="H5" s="232" t="s">
        <v>45</v>
      </c>
      <c r="I5" s="232"/>
      <c r="J5" s="242"/>
      <c r="K5" s="422" t="s">
        <v>284</v>
      </c>
      <c r="L5" s="423"/>
      <c r="M5" s="424"/>
      <c r="N5" s="425">
        <f>VLOOKUP(I10,C17:I72,5)</f>
        <v>150148.14020254629</v>
      </c>
      <c r="P5" s="232"/>
    </row>
    <row r="6" spans="1:16" ht="15.75">
      <c r="C6" s="244"/>
      <c r="D6" s="240"/>
      <c r="E6" s="232"/>
      <c r="F6" s="232"/>
      <c r="G6" s="232"/>
      <c r="H6" s="426"/>
      <c r="I6" s="426"/>
      <c r="J6" s="427"/>
      <c r="K6" s="428" t="s">
        <v>285</v>
      </c>
      <c r="L6" s="429"/>
      <c r="M6" s="242"/>
      <c r="N6" s="430">
        <f>VLOOKUP(I10,C17:I72,6)</f>
        <v>150148.14020254629</v>
      </c>
      <c r="O6" s="232"/>
      <c r="P6" s="232"/>
    </row>
    <row r="7" spans="1:16" ht="13.5" thickBot="1">
      <c r="C7" s="431" t="s">
        <v>46</v>
      </c>
      <c r="D7" s="564" t="s">
        <v>84</v>
      </c>
      <c r="E7" s="232"/>
      <c r="F7" s="232"/>
      <c r="G7" s="232"/>
      <c r="H7" s="241"/>
      <c r="I7" s="241"/>
      <c r="J7" s="347"/>
      <c r="K7" s="433" t="s">
        <v>47</v>
      </c>
      <c r="L7" s="434"/>
      <c r="M7" s="434"/>
      <c r="N7" s="435">
        <f>+N6-N5</f>
        <v>0</v>
      </c>
      <c r="O7" s="232"/>
      <c r="P7" s="232"/>
    </row>
    <row r="8" spans="1:16" ht="13.5" thickBot="1">
      <c r="C8" s="436"/>
      <c r="D8" s="437"/>
      <c r="E8" s="438"/>
      <c r="F8" s="438"/>
      <c r="G8" s="438"/>
      <c r="H8" s="438"/>
      <c r="I8" s="438"/>
      <c r="J8" s="439"/>
      <c r="K8" s="438"/>
      <c r="L8" s="438"/>
      <c r="M8" s="438"/>
      <c r="N8" s="438"/>
      <c r="O8" s="439"/>
      <c r="P8" s="311"/>
    </row>
    <row r="9" spans="1:16" ht="13.5" thickBot="1">
      <c r="A9" s="155"/>
      <c r="C9" s="440" t="s">
        <v>48</v>
      </c>
      <c r="D9" s="441" t="s">
        <v>85</v>
      </c>
      <c r="E9" s="577" t="s">
        <v>349</v>
      </c>
      <c r="F9" s="442"/>
      <c r="G9" s="442"/>
      <c r="H9" s="442"/>
      <c r="I9" s="443"/>
      <c r="J9" s="444"/>
      <c r="O9" s="445"/>
      <c r="P9" s="242"/>
    </row>
    <row r="10" spans="1:16">
      <c r="C10" s="446" t="s">
        <v>226</v>
      </c>
      <c r="D10" s="447">
        <v>1520502</v>
      </c>
      <c r="E10" s="324" t="s">
        <v>51</v>
      </c>
      <c r="F10" s="445"/>
      <c r="G10" s="448"/>
      <c r="H10" s="448"/>
      <c r="I10" s="449">
        <f>+PSO.WS.F.BPU.ATRR.Projected!L19</f>
        <v>2022</v>
      </c>
      <c r="J10" s="444"/>
      <c r="K10" s="347" t="s">
        <v>52</v>
      </c>
      <c r="O10" s="242"/>
      <c r="P10" s="242"/>
    </row>
    <row r="11" spans="1:16">
      <c r="C11" s="450" t="s">
        <v>53</v>
      </c>
      <c r="D11" s="451">
        <v>2008</v>
      </c>
      <c r="E11" s="450" t="s">
        <v>54</v>
      </c>
      <c r="F11" s="448"/>
      <c r="G11" s="195"/>
      <c r="H11" s="195"/>
      <c r="I11" s="452">
        <f>IF(G5="",0,PSO.WS.F.BPU.ATRR.Projected!F$13)</f>
        <v>0</v>
      </c>
      <c r="J11" s="453"/>
      <c r="K11" s="148" t="str">
        <f>"          INPUT PROJECTED ARR (WITH &amp; WITHOUT INCENTIVES) FROM EACH PRIOR YEAR"</f>
        <v xml:space="preserve">          INPUT PROJECTED ARR (WITH &amp; WITHOUT INCENTIVES) FROM EACH PRIOR YEAR</v>
      </c>
      <c r="O11" s="242"/>
      <c r="P11" s="242"/>
    </row>
    <row r="12" spans="1:16">
      <c r="C12" s="450" t="s">
        <v>55</v>
      </c>
      <c r="D12" s="447">
        <v>4</v>
      </c>
      <c r="E12" s="450" t="s">
        <v>56</v>
      </c>
      <c r="F12" s="448"/>
      <c r="G12" s="195"/>
      <c r="H12" s="195"/>
      <c r="I12" s="454">
        <f>PSO.WS.F.BPU.ATRR.Projected!$F$81</f>
        <v>0.10781124580725182</v>
      </c>
      <c r="J12" s="396"/>
      <c r="K12" s="148" t="s">
        <v>57</v>
      </c>
      <c r="O12" s="242"/>
      <c r="P12" s="242"/>
    </row>
    <row r="13" spans="1:16">
      <c r="C13" s="450" t="s">
        <v>58</v>
      </c>
      <c r="D13" s="452">
        <f>+PSO.WS.F.BPU.ATRR.Projected!F$93</f>
        <v>42</v>
      </c>
      <c r="E13" s="450" t="s">
        <v>59</v>
      </c>
      <c r="F13" s="448"/>
      <c r="G13" s="195"/>
      <c r="H13" s="195"/>
      <c r="I13" s="454">
        <f>IF(G5="",I12,PSO.WS.F.BPU.ATRR.Projected!$F$80)</f>
        <v>0.10781124580725182</v>
      </c>
      <c r="J13" s="396"/>
      <c r="K13" s="347" t="s">
        <v>60</v>
      </c>
      <c r="L13" s="294"/>
      <c r="M13" s="294"/>
      <c r="N13" s="294"/>
      <c r="O13" s="242"/>
      <c r="P13" s="242"/>
    </row>
    <row r="14" spans="1:16" ht="13.5" thickBot="1">
      <c r="C14" s="450" t="s">
        <v>61</v>
      </c>
      <c r="D14" s="451" t="s">
        <v>62</v>
      </c>
      <c r="E14" s="242" t="s">
        <v>63</v>
      </c>
      <c r="F14" s="448"/>
      <c r="G14" s="195"/>
      <c r="H14" s="195"/>
      <c r="I14" s="455">
        <f>IF(D10=0,0,D10/D13)</f>
        <v>36202.428571428572</v>
      </c>
      <c r="J14" s="347"/>
      <c r="K14" s="347"/>
      <c r="L14" s="347"/>
      <c r="M14" s="347"/>
      <c r="N14" s="347"/>
      <c r="O14" s="242"/>
      <c r="P14" s="242"/>
    </row>
    <row r="15" spans="1:16" ht="38.25">
      <c r="C15" s="456" t="s">
        <v>50</v>
      </c>
      <c r="D15" s="457" t="s">
        <v>64</v>
      </c>
      <c r="E15" s="457" t="s">
        <v>65</v>
      </c>
      <c r="F15" s="457" t="s">
        <v>66</v>
      </c>
      <c r="G15" s="458" t="s">
        <v>286</v>
      </c>
      <c r="H15" s="459" t="s">
        <v>287</v>
      </c>
      <c r="I15" s="456" t="s">
        <v>67</v>
      </c>
      <c r="J15" s="460"/>
      <c r="K15" s="461" t="s">
        <v>205</v>
      </c>
      <c r="L15" s="462" t="s">
        <v>68</v>
      </c>
      <c r="M15" s="461" t="s">
        <v>205</v>
      </c>
      <c r="N15" s="462" t="s">
        <v>68</v>
      </c>
      <c r="O15" s="463" t="s">
        <v>69</v>
      </c>
      <c r="P15" s="242"/>
    </row>
    <row r="16" spans="1:16" ht="13.5" thickBot="1">
      <c r="C16" s="464" t="s">
        <v>70</v>
      </c>
      <c r="D16" s="464" t="s">
        <v>71</v>
      </c>
      <c r="E16" s="464" t="s">
        <v>72</v>
      </c>
      <c r="F16" s="464" t="s">
        <v>71</v>
      </c>
      <c r="G16" s="465" t="s">
        <v>73</v>
      </c>
      <c r="H16" s="466" t="s">
        <v>74</v>
      </c>
      <c r="I16" s="467" t="s">
        <v>104</v>
      </c>
      <c r="J16" s="468" t="s">
        <v>75</v>
      </c>
      <c r="K16" s="469" t="s">
        <v>76</v>
      </c>
      <c r="L16" s="470" t="s">
        <v>76</v>
      </c>
      <c r="M16" s="469" t="s">
        <v>105</v>
      </c>
      <c r="N16" s="471" t="s">
        <v>105</v>
      </c>
      <c r="O16" s="469" t="s">
        <v>105</v>
      </c>
      <c r="P16" s="242"/>
    </row>
    <row r="17" spans="2:16">
      <c r="B17" s="160"/>
      <c r="C17" s="472">
        <f>IF(D11= "","-",D11)</f>
        <v>2008</v>
      </c>
      <c r="D17" s="473">
        <v>1520473</v>
      </c>
      <c r="E17" s="474">
        <v>19125</v>
      </c>
      <c r="F17" s="473">
        <v>1501348</v>
      </c>
      <c r="G17" s="474">
        <v>0</v>
      </c>
      <c r="H17" s="481">
        <v>0</v>
      </c>
      <c r="I17" s="475">
        <f t="shared" ref="I17:I48" si="0">H17-G17</f>
        <v>0</v>
      </c>
      <c r="J17" s="475"/>
      <c r="K17" s="554">
        <v>0</v>
      </c>
      <c r="L17" s="477">
        <f t="shared" ref="L17:L48" si="1">IF(K17&lt;&gt;0,+G17-K17,0)</f>
        <v>0</v>
      </c>
      <c r="M17" s="554">
        <v>0</v>
      </c>
      <c r="N17" s="477">
        <f t="shared" ref="N17:N48" si="2">IF(M17&lt;&gt;0,+H17-M17,0)</f>
        <v>0</v>
      </c>
      <c r="O17" s="478">
        <f t="shared" ref="O17:O48" si="3">+N17-L17</f>
        <v>0</v>
      </c>
      <c r="P17" s="242"/>
    </row>
    <row r="18" spans="2:16">
      <c r="B18" s="160" t="str">
        <f>IF(D18=F17,"","IU")</f>
        <v/>
      </c>
      <c r="C18" s="472">
        <f>IF(D11="","-",+C17+1)</f>
        <v>2009</v>
      </c>
      <c r="D18" s="479">
        <v>1501348</v>
      </c>
      <c r="E18" s="480">
        <v>28688</v>
      </c>
      <c r="F18" s="479">
        <v>1472660</v>
      </c>
      <c r="G18" s="480">
        <v>254309</v>
      </c>
      <c r="H18" s="481">
        <v>254309</v>
      </c>
      <c r="I18" s="475">
        <f t="shared" si="0"/>
        <v>0</v>
      </c>
      <c r="J18" s="475"/>
      <c r="K18" s="476">
        <v>254309</v>
      </c>
      <c r="L18" s="478">
        <f t="shared" si="1"/>
        <v>0</v>
      </c>
      <c r="M18" s="476">
        <v>254309</v>
      </c>
      <c r="N18" s="478">
        <f t="shared" si="2"/>
        <v>0</v>
      </c>
      <c r="O18" s="478">
        <f t="shared" si="3"/>
        <v>0</v>
      </c>
      <c r="P18" s="242"/>
    </row>
    <row r="19" spans="2:16">
      <c r="B19" s="160" t="str">
        <f>IF(D19=F18,"","IU")</f>
        <v>IU</v>
      </c>
      <c r="C19" s="472">
        <f>IF(D11="","-",+C18+1)</f>
        <v>2010</v>
      </c>
      <c r="D19" s="479">
        <v>1472689</v>
      </c>
      <c r="E19" s="480">
        <v>27151.821428571428</v>
      </c>
      <c r="F19" s="479">
        <v>1445537.1785714286</v>
      </c>
      <c r="G19" s="480">
        <v>235737.79751815079</v>
      </c>
      <c r="H19" s="481">
        <v>235737.79751815079</v>
      </c>
      <c r="I19" s="475">
        <f t="shared" si="0"/>
        <v>0</v>
      </c>
      <c r="J19" s="475"/>
      <c r="K19" s="540">
        <f t="shared" ref="K19:K24" si="4">G19</f>
        <v>235737.79751815079</v>
      </c>
      <c r="L19" s="541">
        <f t="shared" si="1"/>
        <v>0</v>
      </c>
      <c r="M19" s="540">
        <f t="shared" ref="M19:M24" si="5">H19</f>
        <v>235737.79751815079</v>
      </c>
      <c r="N19" s="478">
        <f t="shared" si="2"/>
        <v>0</v>
      </c>
      <c r="O19" s="478">
        <f t="shared" si="3"/>
        <v>0</v>
      </c>
      <c r="P19" s="242"/>
    </row>
    <row r="20" spans="2:16">
      <c r="B20" s="160" t="str">
        <f t="shared" ref="B20:B72" si="6">IF(D20=F19,"","IU")</f>
        <v/>
      </c>
      <c r="C20" s="472">
        <f>IF(D11="","-",+C19+1)</f>
        <v>2011</v>
      </c>
      <c r="D20" s="479">
        <v>1445537.1785714286</v>
      </c>
      <c r="E20" s="480">
        <v>29813.764705882353</v>
      </c>
      <c r="F20" s="479">
        <v>1415723.4138655462</v>
      </c>
      <c r="G20" s="480">
        <v>251435.83921239444</v>
      </c>
      <c r="H20" s="481">
        <v>251435.83921239444</v>
      </c>
      <c r="I20" s="475">
        <f t="shared" si="0"/>
        <v>0</v>
      </c>
      <c r="J20" s="475"/>
      <c r="K20" s="476">
        <f t="shared" si="4"/>
        <v>251435.83921239444</v>
      </c>
      <c r="L20" s="550">
        <f t="shared" si="1"/>
        <v>0</v>
      </c>
      <c r="M20" s="476">
        <f t="shared" si="5"/>
        <v>251435.83921239444</v>
      </c>
      <c r="N20" s="478">
        <f t="shared" si="2"/>
        <v>0</v>
      </c>
      <c r="O20" s="478">
        <f t="shared" si="3"/>
        <v>0</v>
      </c>
      <c r="P20" s="242"/>
    </row>
    <row r="21" spans="2:16">
      <c r="B21" s="160" t="str">
        <f t="shared" si="6"/>
        <v/>
      </c>
      <c r="C21" s="472">
        <f>IF(D11="","-",+C20+1)</f>
        <v>2012</v>
      </c>
      <c r="D21" s="479">
        <v>1415723.4138655462</v>
      </c>
      <c r="E21" s="480">
        <v>29240.423076923078</v>
      </c>
      <c r="F21" s="479">
        <v>1386482.9907886232</v>
      </c>
      <c r="G21" s="480">
        <v>222248.1918516063</v>
      </c>
      <c r="H21" s="481">
        <v>222248.1918516063</v>
      </c>
      <c r="I21" s="475">
        <f t="shared" si="0"/>
        <v>0</v>
      </c>
      <c r="J21" s="475"/>
      <c r="K21" s="476">
        <f t="shared" si="4"/>
        <v>222248.1918516063</v>
      </c>
      <c r="L21" s="550">
        <f t="shared" si="1"/>
        <v>0</v>
      </c>
      <c r="M21" s="476">
        <f t="shared" si="5"/>
        <v>222248.1918516063</v>
      </c>
      <c r="N21" s="478">
        <f t="shared" si="2"/>
        <v>0</v>
      </c>
      <c r="O21" s="478">
        <f t="shared" si="3"/>
        <v>0</v>
      </c>
      <c r="P21" s="242"/>
    </row>
    <row r="22" spans="2:16">
      <c r="B22" s="160" t="str">
        <f t="shared" si="6"/>
        <v/>
      </c>
      <c r="C22" s="472">
        <f>IF(D11="","-",+C21+1)</f>
        <v>2013</v>
      </c>
      <c r="D22" s="479">
        <v>1386482.9907886232</v>
      </c>
      <c r="E22" s="480">
        <v>29240.423076923078</v>
      </c>
      <c r="F22" s="479">
        <v>1357242.5677117002</v>
      </c>
      <c r="G22" s="480">
        <v>223063.83719618269</v>
      </c>
      <c r="H22" s="481">
        <v>223063.83719618269</v>
      </c>
      <c r="I22" s="475">
        <v>0</v>
      </c>
      <c r="J22" s="475"/>
      <c r="K22" s="476">
        <f t="shared" si="4"/>
        <v>223063.83719618269</v>
      </c>
      <c r="L22" s="550">
        <f t="shared" ref="L22:L27" si="7">IF(K22&lt;&gt;0,+G22-K22,0)</f>
        <v>0</v>
      </c>
      <c r="M22" s="476">
        <f t="shared" si="5"/>
        <v>223063.83719618269</v>
      </c>
      <c r="N22" s="478">
        <f t="shared" ref="N22:N27" si="8">IF(M22&lt;&gt;0,+H22-M22,0)</f>
        <v>0</v>
      </c>
      <c r="O22" s="478">
        <f t="shared" ref="O22:O27" si="9">+N22-L22</f>
        <v>0</v>
      </c>
      <c r="P22" s="242"/>
    </row>
    <row r="23" spans="2:16">
      <c r="B23" s="160" t="str">
        <f t="shared" si="6"/>
        <v/>
      </c>
      <c r="C23" s="472">
        <f>IF(D11="","-",+C22+1)</f>
        <v>2014</v>
      </c>
      <c r="D23" s="479">
        <v>1357242.5677117002</v>
      </c>
      <c r="E23" s="480">
        <v>29240.423076923078</v>
      </c>
      <c r="F23" s="479">
        <v>1328002.1446347772</v>
      </c>
      <c r="G23" s="480">
        <v>212051.56179808528</v>
      </c>
      <c r="H23" s="481">
        <v>212051.56179808528</v>
      </c>
      <c r="I23" s="475">
        <v>0</v>
      </c>
      <c r="J23" s="475"/>
      <c r="K23" s="476">
        <f t="shared" si="4"/>
        <v>212051.56179808528</v>
      </c>
      <c r="L23" s="550">
        <f t="shared" si="7"/>
        <v>0</v>
      </c>
      <c r="M23" s="476">
        <f t="shared" si="5"/>
        <v>212051.56179808528</v>
      </c>
      <c r="N23" s="478">
        <f t="shared" si="8"/>
        <v>0</v>
      </c>
      <c r="O23" s="478">
        <f t="shared" si="9"/>
        <v>0</v>
      </c>
      <c r="P23" s="242"/>
    </row>
    <row r="24" spans="2:16">
      <c r="B24" s="160" t="str">
        <f t="shared" si="6"/>
        <v/>
      </c>
      <c r="C24" s="472">
        <f>IF(D11="","-",+C23+1)</f>
        <v>2015</v>
      </c>
      <c r="D24" s="479">
        <v>1328002.1446347772</v>
      </c>
      <c r="E24" s="480">
        <v>29240.423076923078</v>
      </c>
      <c r="F24" s="479">
        <v>1298761.7215578542</v>
      </c>
      <c r="G24" s="480">
        <v>208302.85337289202</v>
      </c>
      <c r="H24" s="481">
        <v>208302.85337289202</v>
      </c>
      <c r="I24" s="475">
        <v>0</v>
      </c>
      <c r="J24" s="475"/>
      <c r="K24" s="476">
        <f t="shared" si="4"/>
        <v>208302.85337289202</v>
      </c>
      <c r="L24" s="550">
        <f t="shared" si="7"/>
        <v>0</v>
      </c>
      <c r="M24" s="476">
        <f t="shared" si="5"/>
        <v>208302.85337289202</v>
      </c>
      <c r="N24" s="478">
        <f t="shared" si="8"/>
        <v>0</v>
      </c>
      <c r="O24" s="478">
        <f t="shared" si="9"/>
        <v>0</v>
      </c>
      <c r="P24" s="242"/>
    </row>
    <row r="25" spans="2:16">
      <c r="B25" s="160" t="str">
        <f t="shared" si="6"/>
        <v/>
      </c>
      <c r="C25" s="472">
        <f>IF(D11="","-",+C24+1)</f>
        <v>2016</v>
      </c>
      <c r="D25" s="479">
        <v>1298761.7215578542</v>
      </c>
      <c r="E25" s="480">
        <v>29240.423076923078</v>
      </c>
      <c r="F25" s="479">
        <v>1269521.2984809312</v>
      </c>
      <c r="G25" s="480">
        <v>195750.37197477801</v>
      </c>
      <c r="H25" s="481">
        <v>195750.37197477801</v>
      </c>
      <c r="I25" s="475">
        <f t="shared" si="0"/>
        <v>0</v>
      </c>
      <c r="J25" s="475"/>
      <c r="K25" s="476">
        <f t="shared" ref="K25:K30" si="10">G25</f>
        <v>195750.37197477801</v>
      </c>
      <c r="L25" s="550">
        <f t="shared" si="7"/>
        <v>0</v>
      </c>
      <c r="M25" s="476">
        <f t="shared" ref="M25:M30" si="11">H25</f>
        <v>195750.37197477801</v>
      </c>
      <c r="N25" s="478">
        <f t="shared" si="8"/>
        <v>0</v>
      </c>
      <c r="O25" s="478">
        <f t="shared" si="9"/>
        <v>0</v>
      </c>
      <c r="P25" s="242"/>
    </row>
    <row r="26" spans="2:16">
      <c r="B26" s="160" t="str">
        <f t="shared" si="6"/>
        <v/>
      </c>
      <c r="C26" s="472">
        <f>IF(D11="","-",+C25+1)</f>
        <v>2017</v>
      </c>
      <c r="D26" s="479">
        <v>1269521.2984809312</v>
      </c>
      <c r="E26" s="480">
        <v>33054.391304347824</v>
      </c>
      <c r="F26" s="479">
        <v>1236466.9071765833</v>
      </c>
      <c r="G26" s="480">
        <v>190407.97943741584</v>
      </c>
      <c r="H26" s="481">
        <v>190407.97943741584</v>
      </c>
      <c r="I26" s="475">
        <f t="shared" si="0"/>
        <v>0</v>
      </c>
      <c r="J26" s="475"/>
      <c r="K26" s="476">
        <f t="shared" si="10"/>
        <v>190407.97943741584</v>
      </c>
      <c r="L26" s="550">
        <f t="shared" si="7"/>
        <v>0</v>
      </c>
      <c r="M26" s="476">
        <f t="shared" si="11"/>
        <v>190407.97943741584</v>
      </c>
      <c r="N26" s="478">
        <f t="shared" si="8"/>
        <v>0</v>
      </c>
      <c r="O26" s="478">
        <f t="shared" si="9"/>
        <v>0</v>
      </c>
      <c r="P26" s="242"/>
    </row>
    <row r="27" spans="2:16">
      <c r="B27" s="160" t="str">
        <f t="shared" si="6"/>
        <v/>
      </c>
      <c r="C27" s="472">
        <f>IF(D11="","-",+C26+1)</f>
        <v>2018</v>
      </c>
      <c r="D27" s="479">
        <v>1236466.9071765833</v>
      </c>
      <c r="E27" s="480">
        <v>33788.933333333334</v>
      </c>
      <c r="F27" s="479">
        <v>1202677.97384325</v>
      </c>
      <c r="G27" s="480">
        <v>179843.63692519162</v>
      </c>
      <c r="H27" s="481">
        <v>179843.63692519162</v>
      </c>
      <c r="I27" s="475">
        <f t="shared" si="0"/>
        <v>0</v>
      </c>
      <c r="J27" s="475"/>
      <c r="K27" s="476">
        <f t="shared" si="10"/>
        <v>179843.63692519162</v>
      </c>
      <c r="L27" s="550">
        <f t="shared" si="7"/>
        <v>0</v>
      </c>
      <c r="M27" s="476">
        <f t="shared" si="11"/>
        <v>179843.63692519162</v>
      </c>
      <c r="N27" s="478">
        <f t="shared" si="8"/>
        <v>0</v>
      </c>
      <c r="O27" s="478">
        <f t="shared" si="9"/>
        <v>0</v>
      </c>
      <c r="P27" s="242"/>
    </row>
    <row r="28" spans="2:16">
      <c r="B28" s="160" t="str">
        <f t="shared" si="6"/>
        <v/>
      </c>
      <c r="C28" s="472">
        <f>IF(D11="","-",+C27+1)</f>
        <v>2019</v>
      </c>
      <c r="D28" s="479">
        <v>1202677.97384325</v>
      </c>
      <c r="E28" s="480">
        <v>38012.550000000003</v>
      </c>
      <c r="F28" s="479">
        <v>1164665.4238432499</v>
      </c>
      <c r="G28" s="480">
        <v>170177.34445508715</v>
      </c>
      <c r="H28" s="481">
        <v>170177.34445508715</v>
      </c>
      <c r="I28" s="475">
        <f t="shared" si="0"/>
        <v>0</v>
      </c>
      <c r="J28" s="475"/>
      <c r="K28" s="476">
        <f t="shared" si="10"/>
        <v>170177.34445508715</v>
      </c>
      <c r="L28" s="550">
        <f t="shared" ref="L28" si="12">IF(K28&lt;&gt;0,+G28-K28,0)</f>
        <v>0</v>
      </c>
      <c r="M28" s="476">
        <f t="shared" si="11"/>
        <v>170177.34445508715</v>
      </c>
      <c r="N28" s="478">
        <f t="shared" ref="N28" si="13">IF(M28&lt;&gt;0,+H28-M28,0)</f>
        <v>0</v>
      </c>
      <c r="O28" s="478">
        <f t="shared" ref="O28" si="14">+N28-L28</f>
        <v>0</v>
      </c>
      <c r="P28" s="242"/>
    </row>
    <row r="29" spans="2:16">
      <c r="B29" s="160" t="str">
        <f t="shared" si="6"/>
        <v>IU</v>
      </c>
      <c r="C29" s="472">
        <f>IF(D11="","-",+C28+1)</f>
        <v>2020</v>
      </c>
      <c r="D29" s="479">
        <v>1168889.0405099166</v>
      </c>
      <c r="E29" s="480">
        <v>36202.428571428572</v>
      </c>
      <c r="F29" s="479">
        <v>1132686.611938488</v>
      </c>
      <c r="G29" s="480">
        <v>160493.01101346352</v>
      </c>
      <c r="H29" s="481">
        <v>160493.01101346352</v>
      </c>
      <c r="I29" s="475">
        <f t="shared" si="0"/>
        <v>0</v>
      </c>
      <c r="J29" s="475"/>
      <c r="K29" s="476">
        <f t="shared" si="10"/>
        <v>160493.01101346352</v>
      </c>
      <c r="L29" s="550">
        <f t="shared" ref="L29" si="15">IF(K29&lt;&gt;0,+G29-K29,0)</f>
        <v>0</v>
      </c>
      <c r="M29" s="476">
        <f t="shared" si="11"/>
        <v>160493.01101346352</v>
      </c>
      <c r="N29" s="478">
        <f t="shared" si="2"/>
        <v>0</v>
      </c>
      <c r="O29" s="478">
        <f t="shared" si="3"/>
        <v>0</v>
      </c>
      <c r="P29" s="242"/>
    </row>
    <row r="30" spans="2:16">
      <c r="B30" s="160" t="str">
        <f t="shared" si="6"/>
        <v>IU</v>
      </c>
      <c r="C30" s="472">
        <f>IF(D11="","-",+C29+1)</f>
        <v>2021</v>
      </c>
      <c r="D30" s="479">
        <v>1128462.995271821</v>
      </c>
      <c r="E30" s="480">
        <v>35360.511627906977</v>
      </c>
      <c r="F30" s="479">
        <v>1093102.4836439141</v>
      </c>
      <c r="G30" s="480">
        <v>153220.62710843381</v>
      </c>
      <c r="H30" s="481">
        <v>153220.62710843381</v>
      </c>
      <c r="I30" s="475">
        <f t="shared" si="0"/>
        <v>0</v>
      </c>
      <c r="J30" s="475"/>
      <c r="K30" s="476">
        <f t="shared" si="10"/>
        <v>153220.62710843381</v>
      </c>
      <c r="L30" s="550">
        <f t="shared" ref="L30" si="16">IF(K30&lt;&gt;0,+G30-K30,0)</f>
        <v>0</v>
      </c>
      <c r="M30" s="476">
        <f t="shared" si="11"/>
        <v>153220.62710843381</v>
      </c>
      <c r="N30" s="478">
        <f t="shared" si="2"/>
        <v>0</v>
      </c>
      <c r="O30" s="478">
        <f t="shared" si="3"/>
        <v>0</v>
      </c>
      <c r="P30" s="242"/>
    </row>
    <row r="31" spans="2:16">
      <c r="B31" s="160" t="str">
        <f t="shared" si="6"/>
        <v/>
      </c>
      <c r="C31" s="472">
        <f>IF(D11="","-",+C30+1)</f>
        <v>2022</v>
      </c>
      <c r="D31" s="485">
        <f>IF(F30+SUM(E$17:E30)=D$10,F30,D$10-SUM(E$17:E30))</f>
        <v>1093102.4836439141</v>
      </c>
      <c r="E31" s="484">
        <f>IF(+I14&lt;F30,I14,D31)</f>
        <v>36202.428571428572</v>
      </c>
      <c r="F31" s="485">
        <f t="shared" ref="F31:F48" si="17">+D31-E31</f>
        <v>1056900.0550724855</v>
      </c>
      <c r="G31" s="486">
        <f t="shared" ref="G31:G72" si="18">+I$12*F31+E31</f>
        <v>150148.14020254629</v>
      </c>
      <c r="H31" s="455">
        <f t="shared" ref="H31:H72" si="19">+I$13*F31+E31</f>
        <v>150148.14020254629</v>
      </c>
      <c r="I31" s="475">
        <f t="shared" si="0"/>
        <v>0</v>
      </c>
      <c r="J31" s="475"/>
      <c r="K31" s="487"/>
      <c r="L31" s="478">
        <f t="shared" si="1"/>
        <v>0</v>
      </c>
      <c r="M31" s="487"/>
      <c r="N31" s="478">
        <f t="shared" si="2"/>
        <v>0</v>
      </c>
      <c r="O31" s="478">
        <f t="shared" si="3"/>
        <v>0</v>
      </c>
      <c r="P31" s="242"/>
    </row>
    <row r="32" spans="2:16">
      <c r="B32" s="160" t="str">
        <f t="shared" si="6"/>
        <v/>
      </c>
      <c r="C32" s="472">
        <f>IF(D11="","-",+C31+1)</f>
        <v>2023</v>
      </c>
      <c r="D32" s="485">
        <f>IF(F31+SUM(E$17:E31)=D$10,F31,D$10-SUM(E$17:E31))</f>
        <v>1056900.0550724855</v>
      </c>
      <c r="E32" s="484">
        <f>IF(+I14&lt;F31,I14,D32)</f>
        <v>36202.428571428572</v>
      </c>
      <c r="F32" s="485">
        <f t="shared" si="17"/>
        <v>1020697.6265010569</v>
      </c>
      <c r="G32" s="486">
        <f t="shared" si="18"/>
        <v>146245.11127701253</v>
      </c>
      <c r="H32" s="455">
        <f t="shared" si="19"/>
        <v>146245.11127701253</v>
      </c>
      <c r="I32" s="475">
        <f t="shared" si="0"/>
        <v>0</v>
      </c>
      <c r="J32" s="475"/>
      <c r="K32" s="487"/>
      <c r="L32" s="478">
        <f t="shared" si="1"/>
        <v>0</v>
      </c>
      <c r="M32" s="487"/>
      <c r="N32" s="478">
        <f t="shared" si="2"/>
        <v>0</v>
      </c>
      <c r="O32" s="478">
        <f t="shared" si="3"/>
        <v>0</v>
      </c>
      <c r="P32" s="242"/>
    </row>
    <row r="33" spans="2:16">
      <c r="B33" s="160" t="str">
        <f t="shared" si="6"/>
        <v/>
      </c>
      <c r="C33" s="472">
        <f>IF(D11="","-",+C32+1)</f>
        <v>2024</v>
      </c>
      <c r="D33" s="485">
        <f>IF(F32+SUM(E$17:E32)=D$10,F32,D$10-SUM(E$17:E32))</f>
        <v>1020697.6265010569</v>
      </c>
      <c r="E33" s="484">
        <f>IF(+I14&lt;F32,I14,D33)</f>
        <v>36202.428571428572</v>
      </c>
      <c r="F33" s="485">
        <f t="shared" si="17"/>
        <v>984495.19792962843</v>
      </c>
      <c r="G33" s="486">
        <f t="shared" si="18"/>
        <v>142342.08235147878</v>
      </c>
      <c r="H33" s="455">
        <f t="shared" si="19"/>
        <v>142342.08235147878</v>
      </c>
      <c r="I33" s="475">
        <f t="shared" si="0"/>
        <v>0</v>
      </c>
      <c r="J33" s="475"/>
      <c r="K33" s="487"/>
      <c r="L33" s="478">
        <f t="shared" si="1"/>
        <v>0</v>
      </c>
      <c r="M33" s="487"/>
      <c r="N33" s="478">
        <f t="shared" si="2"/>
        <v>0</v>
      </c>
      <c r="O33" s="478">
        <f t="shared" si="3"/>
        <v>0</v>
      </c>
      <c r="P33" s="242"/>
    </row>
    <row r="34" spans="2:16">
      <c r="B34" s="160" t="str">
        <f t="shared" si="6"/>
        <v/>
      </c>
      <c r="C34" s="472">
        <f>IF(D11="","-",+C33+1)</f>
        <v>2025</v>
      </c>
      <c r="D34" s="485">
        <f>IF(F33+SUM(E$17:E33)=D$10,F33,D$10-SUM(E$17:E33))</f>
        <v>984495.19792962843</v>
      </c>
      <c r="E34" s="484">
        <f>IF(+I14&lt;F33,I14,D34)</f>
        <v>36202.428571428572</v>
      </c>
      <c r="F34" s="485">
        <f t="shared" si="17"/>
        <v>948292.7693581999</v>
      </c>
      <c r="G34" s="486">
        <f t="shared" si="18"/>
        <v>138439.05342594502</v>
      </c>
      <c r="H34" s="455">
        <f t="shared" si="19"/>
        <v>138439.05342594502</v>
      </c>
      <c r="I34" s="475">
        <f t="shared" si="0"/>
        <v>0</v>
      </c>
      <c r="J34" s="475"/>
      <c r="K34" s="487"/>
      <c r="L34" s="478">
        <f t="shared" si="1"/>
        <v>0</v>
      </c>
      <c r="M34" s="487"/>
      <c r="N34" s="478">
        <f t="shared" si="2"/>
        <v>0</v>
      </c>
      <c r="O34" s="478">
        <f t="shared" si="3"/>
        <v>0</v>
      </c>
      <c r="P34" s="242"/>
    </row>
    <row r="35" spans="2:16">
      <c r="B35" s="160" t="str">
        <f t="shared" si="6"/>
        <v/>
      </c>
      <c r="C35" s="472">
        <f>IF(D11="","-",+C34+1)</f>
        <v>2026</v>
      </c>
      <c r="D35" s="485">
        <f>IF(F34+SUM(E$17:E34)=D$10,F34,D$10-SUM(E$17:E34))</f>
        <v>948292.7693581999</v>
      </c>
      <c r="E35" s="484">
        <f>IF(+I14&lt;F34,I14,D35)</f>
        <v>36202.428571428572</v>
      </c>
      <c r="F35" s="485">
        <f t="shared" si="17"/>
        <v>912090.34078677138</v>
      </c>
      <c r="G35" s="486">
        <f t="shared" si="18"/>
        <v>134536.02450041127</v>
      </c>
      <c r="H35" s="455">
        <f t="shared" si="19"/>
        <v>134536.02450041127</v>
      </c>
      <c r="I35" s="475">
        <f t="shared" si="0"/>
        <v>0</v>
      </c>
      <c r="J35" s="475"/>
      <c r="K35" s="487"/>
      <c r="L35" s="478">
        <f t="shared" si="1"/>
        <v>0</v>
      </c>
      <c r="M35" s="487"/>
      <c r="N35" s="478">
        <f t="shared" si="2"/>
        <v>0</v>
      </c>
      <c r="O35" s="478">
        <f t="shared" si="3"/>
        <v>0</v>
      </c>
      <c r="P35" s="242"/>
    </row>
    <row r="36" spans="2:16">
      <c r="B36" s="160" t="str">
        <f t="shared" si="6"/>
        <v/>
      </c>
      <c r="C36" s="472">
        <f>IF(D11="","-",+C35+1)</f>
        <v>2027</v>
      </c>
      <c r="D36" s="485">
        <f>IF(F35+SUM(E$17:E35)=D$10,F35,D$10-SUM(E$17:E35))</f>
        <v>912090.34078677138</v>
      </c>
      <c r="E36" s="484">
        <f>IF(+I14&lt;F35,I14,D36)</f>
        <v>36202.428571428572</v>
      </c>
      <c r="F36" s="485">
        <f t="shared" si="17"/>
        <v>875887.91221534286</v>
      </c>
      <c r="G36" s="486">
        <f t="shared" si="18"/>
        <v>130632.99557487751</v>
      </c>
      <c r="H36" s="455">
        <f t="shared" si="19"/>
        <v>130632.99557487751</v>
      </c>
      <c r="I36" s="475">
        <f t="shared" si="0"/>
        <v>0</v>
      </c>
      <c r="J36" s="475"/>
      <c r="K36" s="487"/>
      <c r="L36" s="478">
        <f t="shared" si="1"/>
        <v>0</v>
      </c>
      <c r="M36" s="487"/>
      <c r="N36" s="478">
        <f t="shared" si="2"/>
        <v>0</v>
      </c>
      <c r="O36" s="478">
        <f t="shared" si="3"/>
        <v>0</v>
      </c>
      <c r="P36" s="242"/>
    </row>
    <row r="37" spans="2:16">
      <c r="B37" s="160" t="str">
        <f t="shared" si="6"/>
        <v/>
      </c>
      <c r="C37" s="472">
        <f>IF(D11="","-",+C36+1)</f>
        <v>2028</v>
      </c>
      <c r="D37" s="485">
        <f>IF(F36+SUM(E$17:E36)=D$10,F36,D$10-SUM(E$17:E36))</f>
        <v>875887.91221534286</v>
      </c>
      <c r="E37" s="484">
        <f>IF(+I14&lt;F36,I14,D37)</f>
        <v>36202.428571428572</v>
      </c>
      <c r="F37" s="485">
        <f t="shared" si="17"/>
        <v>839685.48364391434</v>
      </c>
      <c r="G37" s="486">
        <f t="shared" si="18"/>
        <v>126729.96664934375</v>
      </c>
      <c r="H37" s="455">
        <f t="shared" si="19"/>
        <v>126729.96664934375</v>
      </c>
      <c r="I37" s="475">
        <f t="shared" si="0"/>
        <v>0</v>
      </c>
      <c r="J37" s="475"/>
      <c r="K37" s="487"/>
      <c r="L37" s="478">
        <f t="shared" si="1"/>
        <v>0</v>
      </c>
      <c r="M37" s="487"/>
      <c r="N37" s="478">
        <f t="shared" si="2"/>
        <v>0</v>
      </c>
      <c r="O37" s="478">
        <f t="shared" si="3"/>
        <v>0</v>
      </c>
      <c r="P37" s="242"/>
    </row>
    <row r="38" spans="2:16">
      <c r="B38" s="160" t="str">
        <f t="shared" si="6"/>
        <v/>
      </c>
      <c r="C38" s="472">
        <f>IF(D11="","-",+C37+1)</f>
        <v>2029</v>
      </c>
      <c r="D38" s="485">
        <f>IF(F37+SUM(E$17:E37)=D$10,F37,D$10-SUM(E$17:E37))</f>
        <v>839685.48364391434</v>
      </c>
      <c r="E38" s="484">
        <f>IF(+I14&lt;F37,I14,D38)</f>
        <v>36202.428571428572</v>
      </c>
      <c r="F38" s="485">
        <f t="shared" si="17"/>
        <v>803483.05507248582</v>
      </c>
      <c r="G38" s="486">
        <f t="shared" si="18"/>
        <v>122826.93772381</v>
      </c>
      <c r="H38" s="455">
        <f t="shared" si="19"/>
        <v>122826.93772381</v>
      </c>
      <c r="I38" s="475">
        <f t="shared" si="0"/>
        <v>0</v>
      </c>
      <c r="J38" s="475"/>
      <c r="K38" s="487"/>
      <c r="L38" s="478">
        <f t="shared" si="1"/>
        <v>0</v>
      </c>
      <c r="M38" s="487"/>
      <c r="N38" s="478">
        <f t="shared" si="2"/>
        <v>0</v>
      </c>
      <c r="O38" s="478">
        <f t="shared" si="3"/>
        <v>0</v>
      </c>
      <c r="P38" s="242"/>
    </row>
    <row r="39" spans="2:16">
      <c r="B39" s="160" t="str">
        <f t="shared" si="6"/>
        <v/>
      </c>
      <c r="C39" s="472">
        <f>IF(D11="","-",+C38+1)</f>
        <v>2030</v>
      </c>
      <c r="D39" s="485">
        <f>IF(F38+SUM(E$17:E38)=D$10,F38,D$10-SUM(E$17:E38))</f>
        <v>803483.05507248582</v>
      </c>
      <c r="E39" s="484">
        <f>IF(+I14&lt;F38,I14,D39)</f>
        <v>36202.428571428572</v>
      </c>
      <c r="F39" s="485">
        <f t="shared" si="17"/>
        <v>767280.6265010573</v>
      </c>
      <c r="G39" s="486">
        <f t="shared" si="18"/>
        <v>118923.90879827624</v>
      </c>
      <c r="H39" s="455">
        <f t="shared" si="19"/>
        <v>118923.90879827624</v>
      </c>
      <c r="I39" s="475">
        <f t="shared" si="0"/>
        <v>0</v>
      </c>
      <c r="J39" s="475"/>
      <c r="K39" s="487"/>
      <c r="L39" s="478">
        <f t="shared" si="1"/>
        <v>0</v>
      </c>
      <c r="M39" s="487"/>
      <c r="N39" s="478">
        <f t="shared" si="2"/>
        <v>0</v>
      </c>
      <c r="O39" s="478">
        <f t="shared" si="3"/>
        <v>0</v>
      </c>
      <c r="P39" s="242"/>
    </row>
    <row r="40" spans="2:16">
      <c r="B40" s="160" t="str">
        <f t="shared" si="6"/>
        <v/>
      </c>
      <c r="C40" s="472">
        <f>IF(D11="","-",+C39+1)</f>
        <v>2031</v>
      </c>
      <c r="D40" s="485">
        <f>IF(F39+SUM(E$17:E39)=D$10,F39,D$10-SUM(E$17:E39))</f>
        <v>767280.6265010573</v>
      </c>
      <c r="E40" s="484">
        <f>IF(+I14&lt;F39,I14,D40)</f>
        <v>36202.428571428572</v>
      </c>
      <c r="F40" s="485">
        <f t="shared" si="17"/>
        <v>731078.19792962878</v>
      </c>
      <c r="G40" s="486">
        <f t="shared" si="18"/>
        <v>115020.87987274249</v>
      </c>
      <c r="H40" s="455">
        <f t="shared" si="19"/>
        <v>115020.87987274249</v>
      </c>
      <c r="I40" s="475">
        <f t="shared" si="0"/>
        <v>0</v>
      </c>
      <c r="J40" s="475"/>
      <c r="K40" s="487"/>
      <c r="L40" s="478">
        <f t="shared" si="1"/>
        <v>0</v>
      </c>
      <c r="M40" s="487"/>
      <c r="N40" s="478">
        <f t="shared" si="2"/>
        <v>0</v>
      </c>
      <c r="O40" s="478">
        <f t="shared" si="3"/>
        <v>0</v>
      </c>
      <c r="P40" s="242"/>
    </row>
    <row r="41" spans="2:16">
      <c r="B41" s="160" t="str">
        <f t="shared" si="6"/>
        <v/>
      </c>
      <c r="C41" s="472">
        <f>IF(D11="","-",+C40+1)</f>
        <v>2032</v>
      </c>
      <c r="D41" s="485">
        <f>IF(F40+SUM(E$17:E40)=D$10,F40,D$10-SUM(E$17:E40))</f>
        <v>731078.19792962878</v>
      </c>
      <c r="E41" s="484">
        <f>IF(+I14&lt;F40,I14,D41)</f>
        <v>36202.428571428572</v>
      </c>
      <c r="F41" s="485">
        <f t="shared" si="17"/>
        <v>694875.76935820025</v>
      </c>
      <c r="G41" s="486">
        <f t="shared" si="18"/>
        <v>111117.85094720873</v>
      </c>
      <c r="H41" s="455">
        <f t="shared" si="19"/>
        <v>111117.85094720873</v>
      </c>
      <c r="I41" s="475">
        <f t="shared" si="0"/>
        <v>0</v>
      </c>
      <c r="J41" s="475"/>
      <c r="K41" s="487"/>
      <c r="L41" s="478">
        <f t="shared" si="1"/>
        <v>0</v>
      </c>
      <c r="M41" s="487"/>
      <c r="N41" s="478">
        <f t="shared" si="2"/>
        <v>0</v>
      </c>
      <c r="O41" s="478">
        <f t="shared" si="3"/>
        <v>0</v>
      </c>
      <c r="P41" s="242"/>
    </row>
    <row r="42" spans="2:16">
      <c r="B42" s="160" t="str">
        <f t="shared" si="6"/>
        <v/>
      </c>
      <c r="C42" s="472">
        <f>IF(D11="","-",+C41+1)</f>
        <v>2033</v>
      </c>
      <c r="D42" s="485">
        <f>IF(F41+SUM(E$17:E41)=D$10,F41,D$10-SUM(E$17:E41))</f>
        <v>694875.76935820025</v>
      </c>
      <c r="E42" s="484">
        <f>IF(+I14&lt;F41,I14,D42)</f>
        <v>36202.428571428572</v>
      </c>
      <c r="F42" s="485">
        <f t="shared" si="17"/>
        <v>658673.34078677173</v>
      </c>
      <c r="G42" s="486">
        <f t="shared" si="18"/>
        <v>107214.82202167498</v>
      </c>
      <c r="H42" s="455">
        <f t="shared" si="19"/>
        <v>107214.82202167498</v>
      </c>
      <c r="I42" s="475">
        <f t="shared" si="0"/>
        <v>0</v>
      </c>
      <c r="J42" s="475"/>
      <c r="K42" s="487"/>
      <c r="L42" s="478">
        <f t="shared" si="1"/>
        <v>0</v>
      </c>
      <c r="M42" s="487"/>
      <c r="N42" s="478">
        <f t="shared" si="2"/>
        <v>0</v>
      </c>
      <c r="O42" s="478">
        <f t="shared" si="3"/>
        <v>0</v>
      </c>
      <c r="P42" s="242"/>
    </row>
    <row r="43" spans="2:16">
      <c r="B43" s="160" t="str">
        <f t="shared" si="6"/>
        <v/>
      </c>
      <c r="C43" s="472">
        <f>IF(D11="","-",+C42+1)</f>
        <v>2034</v>
      </c>
      <c r="D43" s="485">
        <f>IF(F42+SUM(E$17:E42)=D$10,F42,D$10-SUM(E$17:E42))</f>
        <v>658673.34078677173</v>
      </c>
      <c r="E43" s="484">
        <f>IF(+I14&lt;F42,I14,D43)</f>
        <v>36202.428571428572</v>
      </c>
      <c r="F43" s="485">
        <f t="shared" si="17"/>
        <v>622470.91221534321</v>
      </c>
      <c r="G43" s="486">
        <f t="shared" si="18"/>
        <v>103311.79309614122</v>
      </c>
      <c r="H43" s="455">
        <f t="shared" si="19"/>
        <v>103311.79309614122</v>
      </c>
      <c r="I43" s="475">
        <f t="shared" si="0"/>
        <v>0</v>
      </c>
      <c r="J43" s="475"/>
      <c r="K43" s="487"/>
      <c r="L43" s="478">
        <f t="shared" si="1"/>
        <v>0</v>
      </c>
      <c r="M43" s="487"/>
      <c r="N43" s="478">
        <f t="shared" si="2"/>
        <v>0</v>
      </c>
      <c r="O43" s="478">
        <f t="shared" si="3"/>
        <v>0</v>
      </c>
      <c r="P43" s="242"/>
    </row>
    <row r="44" spans="2:16">
      <c r="B44" s="160" t="str">
        <f t="shared" si="6"/>
        <v/>
      </c>
      <c r="C44" s="472">
        <f>IF(D11="","-",+C43+1)</f>
        <v>2035</v>
      </c>
      <c r="D44" s="485">
        <f>IF(F43+SUM(E$17:E43)=D$10,F43,D$10-SUM(E$17:E43))</f>
        <v>622470.91221534321</v>
      </c>
      <c r="E44" s="484">
        <f>IF(+I14&lt;F43,I14,D44)</f>
        <v>36202.428571428572</v>
      </c>
      <c r="F44" s="485">
        <f t="shared" si="17"/>
        <v>586268.48364391469</v>
      </c>
      <c r="G44" s="486">
        <f t="shared" si="18"/>
        <v>99408.76417060745</v>
      </c>
      <c r="H44" s="455">
        <f t="shared" si="19"/>
        <v>99408.76417060745</v>
      </c>
      <c r="I44" s="475">
        <f t="shared" si="0"/>
        <v>0</v>
      </c>
      <c r="J44" s="475"/>
      <c r="K44" s="487"/>
      <c r="L44" s="478">
        <f t="shared" si="1"/>
        <v>0</v>
      </c>
      <c r="M44" s="487"/>
      <c r="N44" s="478">
        <f t="shared" si="2"/>
        <v>0</v>
      </c>
      <c r="O44" s="478">
        <f t="shared" si="3"/>
        <v>0</v>
      </c>
      <c r="P44" s="242"/>
    </row>
    <row r="45" spans="2:16">
      <c r="B45" s="160" t="str">
        <f t="shared" si="6"/>
        <v/>
      </c>
      <c r="C45" s="472">
        <f>IF(D11="","-",+C44+1)</f>
        <v>2036</v>
      </c>
      <c r="D45" s="485">
        <f>IF(F44+SUM(E$17:E44)=D$10,F44,D$10-SUM(E$17:E44))</f>
        <v>586268.48364391469</v>
      </c>
      <c r="E45" s="484">
        <f>IF(+I14&lt;F44,I14,D45)</f>
        <v>36202.428571428572</v>
      </c>
      <c r="F45" s="485">
        <f t="shared" si="17"/>
        <v>550066.05507248617</v>
      </c>
      <c r="G45" s="486">
        <f t="shared" si="18"/>
        <v>95505.735245073694</v>
      </c>
      <c r="H45" s="455">
        <f t="shared" si="19"/>
        <v>95505.735245073694</v>
      </c>
      <c r="I45" s="475">
        <f t="shared" si="0"/>
        <v>0</v>
      </c>
      <c r="J45" s="475"/>
      <c r="K45" s="487"/>
      <c r="L45" s="478">
        <f t="shared" si="1"/>
        <v>0</v>
      </c>
      <c r="M45" s="487"/>
      <c r="N45" s="478">
        <f t="shared" si="2"/>
        <v>0</v>
      </c>
      <c r="O45" s="478">
        <f t="shared" si="3"/>
        <v>0</v>
      </c>
      <c r="P45" s="242"/>
    </row>
    <row r="46" spans="2:16">
      <c r="B46" s="160" t="str">
        <f t="shared" si="6"/>
        <v/>
      </c>
      <c r="C46" s="472">
        <f>IF(D11="","-",+C45+1)</f>
        <v>2037</v>
      </c>
      <c r="D46" s="485">
        <f>IF(F45+SUM(E$17:E45)=D$10,F45,D$10-SUM(E$17:E45))</f>
        <v>550066.05507248617</v>
      </c>
      <c r="E46" s="484">
        <f>IF(+I14&lt;F45,I14,D46)</f>
        <v>36202.428571428572</v>
      </c>
      <c r="F46" s="485">
        <f t="shared" si="17"/>
        <v>513863.62650105759</v>
      </c>
      <c r="G46" s="486">
        <f t="shared" si="18"/>
        <v>91602.706319539924</v>
      </c>
      <c r="H46" s="455">
        <f t="shared" si="19"/>
        <v>91602.706319539924</v>
      </c>
      <c r="I46" s="475">
        <f t="shared" si="0"/>
        <v>0</v>
      </c>
      <c r="J46" s="475"/>
      <c r="K46" s="487"/>
      <c r="L46" s="478">
        <f t="shared" si="1"/>
        <v>0</v>
      </c>
      <c r="M46" s="487"/>
      <c r="N46" s="478">
        <f t="shared" si="2"/>
        <v>0</v>
      </c>
      <c r="O46" s="478">
        <f t="shared" si="3"/>
        <v>0</v>
      </c>
      <c r="P46" s="242"/>
    </row>
    <row r="47" spans="2:16">
      <c r="B47" s="160" t="str">
        <f t="shared" si="6"/>
        <v/>
      </c>
      <c r="C47" s="472">
        <f>IF(D11="","-",+C46+1)</f>
        <v>2038</v>
      </c>
      <c r="D47" s="485">
        <f>IF(F46+SUM(E$17:E46)=D$10,F46,D$10-SUM(E$17:E46))</f>
        <v>513863.62650105759</v>
      </c>
      <c r="E47" s="484">
        <f>IF(+I14&lt;F46,I14,D47)</f>
        <v>36202.428571428572</v>
      </c>
      <c r="F47" s="485">
        <f t="shared" si="17"/>
        <v>477661.19792962901</v>
      </c>
      <c r="G47" s="486">
        <f t="shared" si="18"/>
        <v>87699.677394006168</v>
      </c>
      <c r="H47" s="455">
        <f t="shared" si="19"/>
        <v>87699.677394006168</v>
      </c>
      <c r="I47" s="475">
        <f t="shared" si="0"/>
        <v>0</v>
      </c>
      <c r="J47" s="475"/>
      <c r="K47" s="487"/>
      <c r="L47" s="478">
        <f t="shared" si="1"/>
        <v>0</v>
      </c>
      <c r="M47" s="487"/>
      <c r="N47" s="478">
        <f t="shared" si="2"/>
        <v>0</v>
      </c>
      <c r="O47" s="478">
        <f t="shared" si="3"/>
        <v>0</v>
      </c>
      <c r="P47" s="242"/>
    </row>
    <row r="48" spans="2:16">
      <c r="B48" s="160" t="str">
        <f t="shared" si="6"/>
        <v/>
      </c>
      <c r="C48" s="472">
        <f>IF(D11="","-",+C47+1)</f>
        <v>2039</v>
      </c>
      <c r="D48" s="485">
        <f>IF(F47+SUM(E$17:E47)=D$10,F47,D$10-SUM(E$17:E47))</f>
        <v>477661.19792962901</v>
      </c>
      <c r="E48" s="484">
        <f>IF(+I14&lt;F47,I14,D48)</f>
        <v>36202.428571428572</v>
      </c>
      <c r="F48" s="485">
        <f t="shared" si="17"/>
        <v>441458.76935820043</v>
      </c>
      <c r="G48" s="486">
        <f t="shared" si="18"/>
        <v>83796.648468472413</v>
      </c>
      <c r="H48" s="455">
        <f t="shared" si="19"/>
        <v>83796.648468472413</v>
      </c>
      <c r="I48" s="475">
        <f t="shared" si="0"/>
        <v>0</v>
      </c>
      <c r="J48" s="475"/>
      <c r="K48" s="487"/>
      <c r="L48" s="478">
        <f t="shared" si="1"/>
        <v>0</v>
      </c>
      <c r="M48" s="487"/>
      <c r="N48" s="478">
        <f t="shared" si="2"/>
        <v>0</v>
      </c>
      <c r="O48" s="478">
        <f t="shared" si="3"/>
        <v>0</v>
      </c>
      <c r="P48" s="242"/>
    </row>
    <row r="49" spans="2:16">
      <c r="B49" s="160" t="str">
        <f t="shared" si="6"/>
        <v/>
      </c>
      <c r="C49" s="472">
        <f>IF(D11="","-",+C48+1)</f>
        <v>2040</v>
      </c>
      <c r="D49" s="485">
        <f>IF(F48+SUM(E$17:E48)=D$10,F48,D$10-SUM(E$17:E48))</f>
        <v>441458.76935820043</v>
      </c>
      <c r="E49" s="484">
        <f>IF(+I14&lt;F48,I14,D49)</f>
        <v>36202.428571428572</v>
      </c>
      <c r="F49" s="485">
        <f t="shared" ref="F49:F72" si="20">+D49-E49</f>
        <v>405256.34078677185</v>
      </c>
      <c r="G49" s="486">
        <f t="shared" si="18"/>
        <v>79893.619542938643</v>
      </c>
      <c r="H49" s="455">
        <f t="shared" si="19"/>
        <v>79893.619542938643</v>
      </c>
      <c r="I49" s="475">
        <f t="shared" ref="I49:I72" si="21">H49-G49</f>
        <v>0</v>
      </c>
      <c r="J49" s="475"/>
      <c r="K49" s="487"/>
      <c r="L49" s="478">
        <f t="shared" ref="L49:L72" si="22">IF(K49&lt;&gt;0,+G49-K49,0)</f>
        <v>0</v>
      </c>
      <c r="M49" s="487"/>
      <c r="N49" s="478">
        <f t="shared" ref="N49:N72" si="23">IF(M49&lt;&gt;0,+H49-M49,0)</f>
        <v>0</v>
      </c>
      <c r="O49" s="478">
        <f t="shared" ref="O49:O72" si="24">+N49-L49</f>
        <v>0</v>
      </c>
      <c r="P49" s="242"/>
    </row>
    <row r="50" spans="2:16">
      <c r="B50" s="160" t="str">
        <f t="shared" si="6"/>
        <v/>
      </c>
      <c r="C50" s="472">
        <f>IF(D11="","-",+C49+1)</f>
        <v>2041</v>
      </c>
      <c r="D50" s="485">
        <f>IF(F49+SUM(E$17:E49)=D$10,F49,D$10-SUM(E$17:E49))</f>
        <v>405256.34078677185</v>
      </c>
      <c r="E50" s="484">
        <f>IF(+I14&lt;F49,I14,D50)</f>
        <v>36202.428571428572</v>
      </c>
      <c r="F50" s="485">
        <f t="shared" si="20"/>
        <v>369053.91221534327</v>
      </c>
      <c r="G50" s="486">
        <f t="shared" si="18"/>
        <v>75990.590617404872</v>
      </c>
      <c r="H50" s="455">
        <f t="shared" si="19"/>
        <v>75990.590617404872</v>
      </c>
      <c r="I50" s="475">
        <f t="shared" si="21"/>
        <v>0</v>
      </c>
      <c r="J50" s="475"/>
      <c r="K50" s="487"/>
      <c r="L50" s="478">
        <f t="shared" si="22"/>
        <v>0</v>
      </c>
      <c r="M50" s="487"/>
      <c r="N50" s="478">
        <f t="shared" si="23"/>
        <v>0</v>
      </c>
      <c r="O50" s="478">
        <f t="shared" si="24"/>
        <v>0</v>
      </c>
      <c r="P50" s="242"/>
    </row>
    <row r="51" spans="2:16">
      <c r="B51" s="160" t="str">
        <f t="shared" si="6"/>
        <v/>
      </c>
      <c r="C51" s="472">
        <f>IF(D11="","-",+C50+1)</f>
        <v>2042</v>
      </c>
      <c r="D51" s="485">
        <f>IF(F50+SUM(E$17:E50)=D$10,F50,D$10-SUM(E$17:E50))</f>
        <v>369053.91221534327</v>
      </c>
      <c r="E51" s="484">
        <f>IF(+I14&lt;F50,I14,D51)</f>
        <v>36202.428571428572</v>
      </c>
      <c r="F51" s="485">
        <f t="shared" si="20"/>
        <v>332851.48364391469</v>
      </c>
      <c r="G51" s="486">
        <f t="shared" si="18"/>
        <v>72087.561691871117</v>
      </c>
      <c r="H51" s="455">
        <f t="shared" si="19"/>
        <v>72087.561691871117</v>
      </c>
      <c r="I51" s="475">
        <f t="shared" si="21"/>
        <v>0</v>
      </c>
      <c r="J51" s="475"/>
      <c r="K51" s="487"/>
      <c r="L51" s="478">
        <f t="shared" si="22"/>
        <v>0</v>
      </c>
      <c r="M51" s="487"/>
      <c r="N51" s="478">
        <f t="shared" si="23"/>
        <v>0</v>
      </c>
      <c r="O51" s="478">
        <f t="shared" si="24"/>
        <v>0</v>
      </c>
      <c r="P51" s="242"/>
    </row>
    <row r="52" spans="2:16">
      <c r="B52" s="160" t="str">
        <f t="shared" si="6"/>
        <v/>
      </c>
      <c r="C52" s="472">
        <f>IF(D11="","-",+C51+1)</f>
        <v>2043</v>
      </c>
      <c r="D52" s="485">
        <f>IF(F51+SUM(E$17:E51)=D$10,F51,D$10-SUM(E$17:E51))</f>
        <v>332851.48364391469</v>
      </c>
      <c r="E52" s="484">
        <f>IF(+I14&lt;F51,I14,D52)</f>
        <v>36202.428571428572</v>
      </c>
      <c r="F52" s="485">
        <f t="shared" si="20"/>
        <v>296649.05507248611</v>
      </c>
      <c r="G52" s="486">
        <f t="shared" si="18"/>
        <v>68184.532766337361</v>
      </c>
      <c r="H52" s="455">
        <f t="shared" si="19"/>
        <v>68184.532766337361</v>
      </c>
      <c r="I52" s="475">
        <f t="shared" si="21"/>
        <v>0</v>
      </c>
      <c r="J52" s="475"/>
      <c r="K52" s="487"/>
      <c r="L52" s="478">
        <f t="shared" si="22"/>
        <v>0</v>
      </c>
      <c r="M52" s="487"/>
      <c r="N52" s="478">
        <f t="shared" si="23"/>
        <v>0</v>
      </c>
      <c r="O52" s="478">
        <f t="shared" si="24"/>
        <v>0</v>
      </c>
      <c r="P52" s="242"/>
    </row>
    <row r="53" spans="2:16">
      <c r="B53" s="160" t="str">
        <f t="shared" si="6"/>
        <v/>
      </c>
      <c r="C53" s="472">
        <f>IF(D11="","-",+C52+1)</f>
        <v>2044</v>
      </c>
      <c r="D53" s="485">
        <f>IF(F52+SUM(E$17:E52)=D$10,F52,D$10-SUM(E$17:E52))</f>
        <v>296649.05507248611</v>
      </c>
      <c r="E53" s="484">
        <f>IF(+I14&lt;F52,I14,D53)</f>
        <v>36202.428571428572</v>
      </c>
      <c r="F53" s="485">
        <f t="shared" si="20"/>
        <v>260446.62650105753</v>
      </c>
      <c r="G53" s="486">
        <f t="shared" si="18"/>
        <v>64281.503840803591</v>
      </c>
      <c r="H53" s="455">
        <f t="shared" si="19"/>
        <v>64281.503840803591</v>
      </c>
      <c r="I53" s="475">
        <f t="shared" si="21"/>
        <v>0</v>
      </c>
      <c r="J53" s="475"/>
      <c r="K53" s="487"/>
      <c r="L53" s="478">
        <f t="shared" si="22"/>
        <v>0</v>
      </c>
      <c r="M53" s="487"/>
      <c r="N53" s="478">
        <f t="shared" si="23"/>
        <v>0</v>
      </c>
      <c r="O53" s="478">
        <f t="shared" si="24"/>
        <v>0</v>
      </c>
      <c r="P53" s="242"/>
    </row>
    <row r="54" spans="2:16">
      <c r="B54" s="160" t="str">
        <f t="shared" si="6"/>
        <v/>
      </c>
      <c r="C54" s="472">
        <f>IF(D11="","-",+C53+1)</f>
        <v>2045</v>
      </c>
      <c r="D54" s="485">
        <f>IF(F53+SUM(E$17:E53)=D$10,F53,D$10-SUM(E$17:E53))</f>
        <v>260446.62650105753</v>
      </c>
      <c r="E54" s="484">
        <f>IF(+I14&lt;F53,I14,D54)</f>
        <v>36202.428571428572</v>
      </c>
      <c r="F54" s="485">
        <f t="shared" si="20"/>
        <v>224244.19792962895</v>
      </c>
      <c r="G54" s="486">
        <f t="shared" si="18"/>
        <v>60378.474915269828</v>
      </c>
      <c r="H54" s="455">
        <f t="shared" si="19"/>
        <v>60378.474915269828</v>
      </c>
      <c r="I54" s="475">
        <f t="shared" si="21"/>
        <v>0</v>
      </c>
      <c r="J54" s="475"/>
      <c r="K54" s="487"/>
      <c r="L54" s="478">
        <f t="shared" si="22"/>
        <v>0</v>
      </c>
      <c r="M54" s="487"/>
      <c r="N54" s="478">
        <f t="shared" si="23"/>
        <v>0</v>
      </c>
      <c r="O54" s="478">
        <f t="shared" si="24"/>
        <v>0</v>
      </c>
      <c r="P54" s="242"/>
    </row>
    <row r="55" spans="2:16">
      <c r="B55" s="160" t="str">
        <f t="shared" si="6"/>
        <v/>
      </c>
      <c r="C55" s="472">
        <f>IF(D11="","-",+C54+1)</f>
        <v>2046</v>
      </c>
      <c r="D55" s="485">
        <f>IF(F54+SUM(E$17:E54)=D$10,F54,D$10-SUM(E$17:E54))</f>
        <v>224244.19792962895</v>
      </c>
      <c r="E55" s="484">
        <f>IF(+I14&lt;F54,I14,D55)</f>
        <v>36202.428571428572</v>
      </c>
      <c r="F55" s="485">
        <f t="shared" si="20"/>
        <v>188041.76935820037</v>
      </c>
      <c r="G55" s="486">
        <f t="shared" si="18"/>
        <v>56475.445989736065</v>
      </c>
      <c r="H55" s="455">
        <f t="shared" si="19"/>
        <v>56475.445989736065</v>
      </c>
      <c r="I55" s="475">
        <f t="shared" si="21"/>
        <v>0</v>
      </c>
      <c r="J55" s="475"/>
      <c r="K55" s="487"/>
      <c r="L55" s="478">
        <f t="shared" si="22"/>
        <v>0</v>
      </c>
      <c r="M55" s="487"/>
      <c r="N55" s="478">
        <f t="shared" si="23"/>
        <v>0</v>
      </c>
      <c r="O55" s="478">
        <f t="shared" si="24"/>
        <v>0</v>
      </c>
      <c r="P55" s="242"/>
    </row>
    <row r="56" spans="2:16">
      <c r="B56" s="160" t="str">
        <f t="shared" si="6"/>
        <v/>
      </c>
      <c r="C56" s="472">
        <f>IF(D11="","-",+C55+1)</f>
        <v>2047</v>
      </c>
      <c r="D56" s="485">
        <f>IF(F55+SUM(E$17:E55)=D$10,F55,D$10-SUM(E$17:E55))</f>
        <v>188041.76935820037</v>
      </c>
      <c r="E56" s="484">
        <f>IF(+I14&lt;F55,I14,D56)</f>
        <v>36202.428571428572</v>
      </c>
      <c r="F56" s="485">
        <f t="shared" si="20"/>
        <v>151839.34078677179</v>
      </c>
      <c r="G56" s="486">
        <f t="shared" si="18"/>
        <v>52572.417064202302</v>
      </c>
      <c r="H56" s="455">
        <f t="shared" si="19"/>
        <v>52572.417064202302</v>
      </c>
      <c r="I56" s="475">
        <f t="shared" si="21"/>
        <v>0</v>
      </c>
      <c r="J56" s="475"/>
      <c r="K56" s="487"/>
      <c r="L56" s="478">
        <f t="shared" si="22"/>
        <v>0</v>
      </c>
      <c r="M56" s="487"/>
      <c r="N56" s="478">
        <f t="shared" si="23"/>
        <v>0</v>
      </c>
      <c r="O56" s="478">
        <f t="shared" si="24"/>
        <v>0</v>
      </c>
      <c r="P56" s="242"/>
    </row>
    <row r="57" spans="2:16">
      <c r="B57" s="160" t="str">
        <f t="shared" si="6"/>
        <v/>
      </c>
      <c r="C57" s="472">
        <f>IF(D11="","-",+C56+1)</f>
        <v>2048</v>
      </c>
      <c r="D57" s="485">
        <f>IF(F56+SUM(E$17:E56)=D$10,F56,D$10-SUM(E$17:E56))</f>
        <v>151839.34078677179</v>
      </c>
      <c r="E57" s="484">
        <f>IF(+I14&lt;F56,I14,D57)</f>
        <v>36202.428571428572</v>
      </c>
      <c r="F57" s="485">
        <f t="shared" si="20"/>
        <v>115636.91221534321</v>
      </c>
      <c r="G57" s="486">
        <f t="shared" si="18"/>
        <v>48669.388138668539</v>
      </c>
      <c r="H57" s="455">
        <f t="shared" si="19"/>
        <v>48669.388138668539</v>
      </c>
      <c r="I57" s="475">
        <f t="shared" si="21"/>
        <v>0</v>
      </c>
      <c r="J57" s="475"/>
      <c r="K57" s="487"/>
      <c r="L57" s="478">
        <f t="shared" si="22"/>
        <v>0</v>
      </c>
      <c r="M57" s="487"/>
      <c r="N57" s="478">
        <f t="shared" si="23"/>
        <v>0</v>
      </c>
      <c r="O57" s="478">
        <f t="shared" si="24"/>
        <v>0</v>
      </c>
      <c r="P57" s="242"/>
    </row>
    <row r="58" spans="2:16">
      <c r="B58" s="160" t="str">
        <f t="shared" si="6"/>
        <v/>
      </c>
      <c r="C58" s="472">
        <f>IF(D11="","-",+C57+1)</f>
        <v>2049</v>
      </c>
      <c r="D58" s="485">
        <f>IF(F57+SUM(E$17:E57)=D$10,F57,D$10-SUM(E$17:E57))</f>
        <v>115636.91221534321</v>
      </c>
      <c r="E58" s="484">
        <f>IF(+I14&lt;F57,I14,D58)</f>
        <v>36202.428571428572</v>
      </c>
      <c r="F58" s="485">
        <f t="shared" si="20"/>
        <v>79434.483643914631</v>
      </c>
      <c r="G58" s="486">
        <f t="shared" si="18"/>
        <v>44766.359213134776</v>
      </c>
      <c r="H58" s="455">
        <f t="shared" si="19"/>
        <v>44766.359213134776</v>
      </c>
      <c r="I58" s="475">
        <f t="shared" si="21"/>
        <v>0</v>
      </c>
      <c r="J58" s="475"/>
      <c r="K58" s="487"/>
      <c r="L58" s="478">
        <f t="shared" si="22"/>
        <v>0</v>
      </c>
      <c r="M58" s="487"/>
      <c r="N58" s="478">
        <f t="shared" si="23"/>
        <v>0</v>
      </c>
      <c r="O58" s="478">
        <f t="shared" si="24"/>
        <v>0</v>
      </c>
      <c r="P58" s="242"/>
    </row>
    <row r="59" spans="2:16">
      <c r="B59" s="160" t="str">
        <f t="shared" si="6"/>
        <v/>
      </c>
      <c r="C59" s="472">
        <f>IF(D11="","-",+C58+1)</f>
        <v>2050</v>
      </c>
      <c r="D59" s="485">
        <f>IF(F58+SUM(E$17:E58)=D$10,F58,D$10-SUM(E$17:E58))</f>
        <v>79434.483643914631</v>
      </c>
      <c r="E59" s="484">
        <f>IF(+I14&lt;F58,I14,D59)</f>
        <v>36202.428571428572</v>
      </c>
      <c r="F59" s="485">
        <f t="shared" si="20"/>
        <v>43232.055072486059</v>
      </c>
      <c r="G59" s="486">
        <f t="shared" si="18"/>
        <v>40863.330287601013</v>
      </c>
      <c r="H59" s="455">
        <f t="shared" si="19"/>
        <v>40863.330287601013</v>
      </c>
      <c r="I59" s="475">
        <f t="shared" si="21"/>
        <v>0</v>
      </c>
      <c r="J59" s="475"/>
      <c r="K59" s="487"/>
      <c r="L59" s="478">
        <f t="shared" si="22"/>
        <v>0</v>
      </c>
      <c r="M59" s="487"/>
      <c r="N59" s="478">
        <f t="shared" si="23"/>
        <v>0</v>
      </c>
      <c r="O59" s="478">
        <f t="shared" si="24"/>
        <v>0</v>
      </c>
      <c r="P59" s="242"/>
    </row>
    <row r="60" spans="2:16">
      <c r="B60" s="160" t="str">
        <f t="shared" si="6"/>
        <v/>
      </c>
      <c r="C60" s="472">
        <f>IF(D11="","-",+C59+1)</f>
        <v>2051</v>
      </c>
      <c r="D60" s="485">
        <f>IF(F59+SUM(E$17:E59)=D$10,F59,D$10-SUM(E$17:E59))</f>
        <v>43232.055072486059</v>
      </c>
      <c r="E60" s="484">
        <f>IF(+I14&lt;F59,I14,D60)</f>
        <v>36202.428571428572</v>
      </c>
      <c r="F60" s="485">
        <f t="shared" si="20"/>
        <v>7029.6265010574862</v>
      </c>
      <c r="G60" s="486">
        <f t="shared" si="18"/>
        <v>36960.30136206725</v>
      </c>
      <c r="H60" s="455">
        <f t="shared" si="19"/>
        <v>36960.30136206725</v>
      </c>
      <c r="I60" s="475">
        <f t="shared" si="21"/>
        <v>0</v>
      </c>
      <c r="J60" s="475"/>
      <c r="K60" s="487"/>
      <c r="L60" s="478">
        <f t="shared" si="22"/>
        <v>0</v>
      </c>
      <c r="M60" s="487"/>
      <c r="N60" s="478">
        <f t="shared" si="23"/>
        <v>0</v>
      </c>
      <c r="O60" s="478">
        <f t="shared" si="24"/>
        <v>0</v>
      </c>
      <c r="P60" s="242"/>
    </row>
    <row r="61" spans="2:16">
      <c r="B61" s="160" t="str">
        <f t="shared" si="6"/>
        <v/>
      </c>
      <c r="C61" s="472">
        <f>IF(D11="","-",+C60+1)</f>
        <v>2052</v>
      </c>
      <c r="D61" s="485">
        <f>IF(F60+SUM(E$17:E60)=D$10,F60,D$10-SUM(E$17:E60))</f>
        <v>7029.6265010574862</v>
      </c>
      <c r="E61" s="484">
        <f>IF(+I14&lt;F60,I14,D61)</f>
        <v>7029.6265010574862</v>
      </c>
      <c r="F61" s="485">
        <f t="shared" si="20"/>
        <v>0</v>
      </c>
      <c r="G61" s="488">
        <f t="shared" si="18"/>
        <v>7029.6265010574862</v>
      </c>
      <c r="H61" s="455">
        <f t="shared" si="19"/>
        <v>7029.6265010574862</v>
      </c>
      <c r="I61" s="475">
        <f t="shared" si="21"/>
        <v>0</v>
      </c>
      <c r="J61" s="475"/>
      <c r="K61" s="487"/>
      <c r="L61" s="478">
        <f t="shared" si="22"/>
        <v>0</v>
      </c>
      <c r="M61" s="487"/>
      <c r="N61" s="478">
        <f t="shared" si="23"/>
        <v>0</v>
      </c>
      <c r="O61" s="478">
        <f t="shared" si="24"/>
        <v>0</v>
      </c>
      <c r="P61" s="242"/>
    </row>
    <row r="62" spans="2:16">
      <c r="B62" s="160" t="str">
        <f t="shared" si="6"/>
        <v/>
      </c>
      <c r="C62" s="472">
        <f>IF(D11="","-",+C61+1)</f>
        <v>2053</v>
      </c>
      <c r="D62" s="485">
        <f>IF(F61+SUM(E$17:E61)=D$10,F61,D$10-SUM(E$17:E61))</f>
        <v>0</v>
      </c>
      <c r="E62" s="484">
        <f>IF(+I14&lt;F61,I14,D62)</f>
        <v>0</v>
      </c>
      <c r="F62" s="485">
        <f t="shared" si="20"/>
        <v>0</v>
      </c>
      <c r="G62" s="488">
        <f t="shared" si="18"/>
        <v>0</v>
      </c>
      <c r="H62" s="455">
        <f t="shared" si="19"/>
        <v>0</v>
      </c>
      <c r="I62" s="475">
        <f t="shared" si="21"/>
        <v>0</v>
      </c>
      <c r="J62" s="475"/>
      <c r="K62" s="487"/>
      <c r="L62" s="478">
        <f t="shared" si="22"/>
        <v>0</v>
      </c>
      <c r="M62" s="487"/>
      <c r="N62" s="478">
        <f t="shared" si="23"/>
        <v>0</v>
      </c>
      <c r="O62" s="478">
        <f t="shared" si="24"/>
        <v>0</v>
      </c>
      <c r="P62" s="242"/>
    </row>
    <row r="63" spans="2:16">
      <c r="B63" s="160" t="str">
        <f t="shared" si="6"/>
        <v/>
      </c>
      <c r="C63" s="472">
        <f>IF(D11="","-",+C62+1)</f>
        <v>2054</v>
      </c>
      <c r="D63" s="485">
        <f>IF(F62+SUM(E$17:E62)=D$10,F62,D$10-SUM(E$17:E62))</f>
        <v>0</v>
      </c>
      <c r="E63" s="484">
        <f>IF(+I14&lt;F62,I14,D63)</f>
        <v>0</v>
      </c>
      <c r="F63" s="485">
        <f t="shared" si="20"/>
        <v>0</v>
      </c>
      <c r="G63" s="488">
        <f t="shared" si="18"/>
        <v>0</v>
      </c>
      <c r="H63" s="455">
        <f t="shared" si="19"/>
        <v>0</v>
      </c>
      <c r="I63" s="475">
        <f t="shared" si="21"/>
        <v>0</v>
      </c>
      <c r="J63" s="475"/>
      <c r="K63" s="487"/>
      <c r="L63" s="478">
        <f t="shared" si="22"/>
        <v>0</v>
      </c>
      <c r="M63" s="487"/>
      <c r="N63" s="478">
        <f t="shared" si="23"/>
        <v>0</v>
      </c>
      <c r="O63" s="478">
        <f t="shared" si="24"/>
        <v>0</v>
      </c>
      <c r="P63" s="242"/>
    </row>
    <row r="64" spans="2:16">
      <c r="B64" s="160" t="str">
        <f t="shared" si="6"/>
        <v/>
      </c>
      <c r="C64" s="472">
        <f>IF(D11="","-",+C63+1)</f>
        <v>2055</v>
      </c>
      <c r="D64" s="485">
        <f>IF(F63+SUM(E$17:E63)=D$10,F63,D$10-SUM(E$17:E63))</f>
        <v>0</v>
      </c>
      <c r="E64" s="484">
        <f>IF(+I14&lt;F63,I14,D64)</f>
        <v>0</v>
      </c>
      <c r="F64" s="485">
        <f t="shared" si="20"/>
        <v>0</v>
      </c>
      <c r="G64" s="488">
        <f t="shared" si="18"/>
        <v>0</v>
      </c>
      <c r="H64" s="455">
        <f t="shared" si="19"/>
        <v>0</v>
      </c>
      <c r="I64" s="475">
        <f t="shared" si="21"/>
        <v>0</v>
      </c>
      <c r="J64" s="475"/>
      <c r="K64" s="487"/>
      <c r="L64" s="478">
        <f t="shared" si="22"/>
        <v>0</v>
      </c>
      <c r="M64" s="487"/>
      <c r="N64" s="478">
        <f t="shared" si="23"/>
        <v>0</v>
      </c>
      <c r="O64" s="478">
        <f t="shared" si="24"/>
        <v>0</v>
      </c>
      <c r="P64" s="242"/>
    </row>
    <row r="65" spans="2:16">
      <c r="B65" s="160" t="str">
        <f t="shared" si="6"/>
        <v/>
      </c>
      <c r="C65" s="472">
        <f>IF(D11="","-",+C64+1)</f>
        <v>2056</v>
      </c>
      <c r="D65" s="485">
        <f>IF(F64+SUM(E$17:E64)=D$10,F64,D$10-SUM(E$17:E64))</f>
        <v>0</v>
      </c>
      <c r="E65" s="484">
        <f>IF(+I14&lt;F64,I14,D65)</f>
        <v>0</v>
      </c>
      <c r="F65" s="485">
        <f t="shared" si="20"/>
        <v>0</v>
      </c>
      <c r="G65" s="488">
        <f t="shared" si="18"/>
        <v>0</v>
      </c>
      <c r="H65" s="455">
        <f t="shared" si="19"/>
        <v>0</v>
      </c>
      <c r="I65" s="475">
        <f t="shared" si="21"/>
        <v>0</v>
      </c>
      <c r="J65" s="475"/>
      <c r="K65" s="487"/>
      <c r="L65" s="478">
        <f t="shared" si="22"/>
        <v>0</v>
      </c>
      <c r="M65" s="487"/>
      <c r="N65" s="478">
        <f t="shared" si="23"/>
        <v>0</v>
      </c>
      <c r="O65" s="478">
        <f t="shared" si="24"/>
        <v>0</v>
      </c>
      <c r="P65" s="242"/>
    </row>
    <row r="66" spans="2:16">
      <c r="B66" s="160" t="str">
        <f t="shared" si="6"/>
        <v/>
      </c>
      <c r="C66" s="472">
        <f>IF(D11="","-",+C65+1)</f>
        <v>2057</v>
      </c>
      <c r="D66" s="485">
        <f>IF(F65+SUM(E$17:E65)=D$10,F65,D$10-SUM(E$17:E65))</f>
        <v>0</v>
      </c>
      <c r="E66" s="484">
        <f>IF(+I14&lt;F65,I14,D66)</f>
        <v>0</v>
      </c>
      <c r="F66" s="485">
        <f t="shared" si="20"/>
        <v>0</v>
      </c>
      <c r="G66" s="488">
        <f t="shared" si="18"/>
        <v>0</v>
      </c>
      <c r="H66" s="455">
        <f t="shared" si="19"/>
        <v>0</v>
      </c>
      <c r="I66" s="475">
        <f t="shared" si="21"/>
        <v>0</v>
      </c>
      <c r="J66" s="475"/>
      <c r="K66" s="487"/>
      <c r="L66" s="478">
        <f t="shared" si="22"/>
        <v>0</v>
      </c>
      <c r="M66" s="487"/>
      <c r="N66" s="478">
        <f t="shared" si="23"/>
        <v>0</v>
      </c>
      <c r="O66" s="478">
        <f t="shared" si="24"/>
        <v>0</v>
      </c>
      <c r="P66" s="242"/>
    </row>
    <row r="67" spans="2:16">
      <c r="B67" s="160" t="str">
        <f t="shared" si="6"/>
        <v/>
      </c>
      <c r="C67" s="472">
        <f>IF(D11="","-",+C66+1)</f>
        <v>2058</v>
      </c>
      <c r="D67" s="485">
        <f>IF(F66+SUM(E$17:E66)=D$10,F66,D$10-SUM(E$17:E66))</f>
        <v>0</v>
      </c>
      <c r="E67" s="484">
        <f>IF(+I14&lt;F66,I14,D67)</f>
        <v>0</v>
      </c>
      <c r="F67" s="485">
        <f t="shared" si="20"/>
        <v>0</v>
      </c>
      <c r="G67" s="488">
        <f t="shared" si="18"/>
        <v>0</v>
      </c>
      <c r="H67" s="455">
        <f t="shared" si="19"/>
        <v>0</v>
      </c>
      <c r="I67" s="475">
        <f t="shared" si="21"/>
        <v>0</v>
      </c>
      <c r="J67" s="475"/>
      <c r="K67" s="487"/>
      <c r="L67" s="478">
        <f t="shared" si="22"/>
        <v>0</v>
      </c>
      <c r="M67" s="487"/>
      <c r="N67" s="478">
        <f t="shared" si="23"/>
        <v>0</v>
      </c>
      <c r="O67" s="478">
        <f t="shared" si="24"/>
        <v>0</v>
      </c>
      <c r="P67" s="242"/>
    </row>
    <row r="68" spans="2:16">
      <c r="B68" s="160" t="str">
        <f t="shared" si="6"/>
        <v/>
      </c>
      <c r="C68" s="472">
        <f>IF(D11="","-",+C67+1)</f>
        <v>2059</v>
      </c>
      <c r="D68" s="485">
        <f>IF(F67+SUM(E$17:E67)=D$10,F67,D$10-SUM(E$17:E67))</f>
        <v>0</v>
      </c>
      <c r="E68" s="484">
        <f>IF(+I14&lt;F67,I14,D68)</f>
        <v>0</v>
      </c>
      <c r="F68" s="485">
        <f t="shared" si="20"/>
        <v>0</v>
      </c>
      <c r="G68" s="488">
        <f t="shared" si="18"/>
        <v>0</v>
      </c>
      <c r="H68" s="455">
        <f t="shared" si="19"/>
        <v>0</v>
      </c>
      <c r="I68" s="475">
        <f t="shared" si="21"/>
        <v>0</v>
      </c>
      <c r="J68" s="475"/>
      <c r="K68" s="487"/>
      <c r="L68" s="478">
        <f t="shared" si="22"/>
        <v>0</v>
      </c>
      <c r="M68" s="487"/>
      <c r="N68" s="478">
        <f t="shared" si="23"/>
        <v>0</v>
      </c>
      <c r="O68" s="478">
        <f t="shared" si="24"/>
        <v>0</v>
      </c>
      <c r="P68" s="242"/>
    </row>
    <row r="69" spans="2:16">
      <c r="B69" s="160" t="str">
        <f t="shared" si="6"/>
        <v/>
      </c>
      <c r="C69" s="472">
        <f>IF(D11="","-",+C68+1)</f>
        <v>2060</v>
      </c>
      <c r="D69" s="485">
        <f>IF(F68+SUM(E$17:E68)=D$10,F68,D$10-SUM(E$17:E68))</f>
        <v>0</v>
      </c>
      <c r="E69" s="484">
        <f>IF(+I14&lt;F68,I14,D69)</f>
        <v>0</v>
      </c>
      <c r="F69" s="485">
        <f t="shared" si="20"/>
        <v>0</v>
      </c>
      <c r="G69" s="488">
        <f t="shared" si="18"/>
        <v>0</v>
      </c>
      <c r="H69" s="455">
        <f t="shared" si="19"/>
        <v>0</v>
      </c>
      <c r="I69" s="475">
        <f t="shared" si="21"/>
        <v>0</v>
      </c>
      <c r="J69" s="475"/>
      <c r="K69" s="487"/>
      <c r="L69" s="478">
        <f t="shared" si="22"/>
        <v>0</v>
      </c>
      <c r="M69" s="487"/>
      <c r="N69" s="478">
        <f t="shared" si="23"/>
        <v>0</v>
      </c>
      <c r="O69" s="478">
        <f t="shared" si="24"/>
        <v>0</v>
      </c>
      <c r="P69" s="242"/>
    </row>
    <row r="70" spans="2:16">
      <c r="B70" s="160" t="str">
        <f t="shared" si="6"/>
        <v/>
      </c>
      <c r="C70" s="472">
        <f>IF(D11="","-",+C69+1)</f>
        <v>2061</v>
      </c>
      <c r="D70" s="485">
        <f>IF(F69+SUM(E$17:E69)=D$10,F69,D$10-SUM(E$17:E69))</f>
        <v>0</v>
      </c>
      <c r="E70" s="484">
        <f>IF(+I14&lt;F69,I14,D70)</f>
        <v>0</v>
      </c>
      <c r="F70" s="485">
        <f t="shared" si="20"/>
        <v>0</v>
      </c>
      <c r="G70" s="488">
        <f t="shared" si="18"/>
        <v>0</v>
      </c>
      <c r="H70" s="455">
        <f t="shared" si="19"/>
        <v>0</v>
      </c>
      <c r="I70" s="475">
        <f t="shared" si="21"/>
        <v>0</v>
      </c>
      <c r="J70" s="475"/>
      <c r="K70" s="487"/>
      <c r="L70" s="478">
        <f t="shared" si="22"/>
        <v>0</v>
      </c>
      <c r="M70" s="487"/>
      <c r="N70" s="478">
        <f t="shared" si="23"/>
        <v>0</v>
      </c>
      <c r="O70" s="478">
        <f t="shared" si="24"/>
        <v>0</v>
      </c>
      <c r="P70" s="242"/>
    </row>
    <row r="71" spans="2:16">
      <c r="B71" s="160" t="str">
        <f t="shared" si="6"/>
        <v/>
      </c>
      <c r="C71" s="472">
        <f>IF(D11="","-",+C70+1)</f>
        <v>2062</v>
      </c>
      <c r="D71" s="485">
        <f>IF(F70+SUM(E$17:E70)=D$10,F70,D$10-SUM(E$17:E70))</f>
        <v>0</v>
      </c>
      <c r="E71" s="484">
        <f>IF(+I14&lt;F70,I14,D71)</f>
        <v>0</v>
      </c>
      <c r="F71" s="485">
        <f t="shared" si="20"/>
        <v>0</v>
      </c>
      <c r="G71" s="488">
        <f t="shared" si="18"/>
        <v>0</v>
      </c>
      <c r="H71" s="455">
        <f t="shared" si="19"/>
        <v>0</v>
      </c>
      <c r="I71" s="475">
        <f t="shared" si="21"/>
        <v>0</v>
      </c>
      <c r="J71" s="475"/>
      <c r="K71" s="487"/>
      <c r="L71" s="478">
        <f t="shared" si="22"/>
        <v>0</v>
      </c>
      <c r="M71" s="487"/>
      <c r="N71" s="478">
        <f t="shared" si="23"/>
        <v>0</v>
      </c>
      <c r="O71" s="478">
        <f t="shared" si="24"/>
        <v>0</v>
      </c>
      <c r="P71" s="242"/>
    </row>
    <row r="72" spans="2:16" ht="13.5" thickBot="1">
      <c r="B72" s="160" t="str">
        <f t="shared" si="6"/>
        <v/>
      </c>
      <c r="C72" s="489">
        <f>IF(D11="","-",+C71+1)</f>
        <v>2063</v>
      </c>
      <c r="D72" s="490">
        <f>IF(F71+SUM(E$17:E71)=D$10,F71,D$10-SUM(E$17:E71))</f>
        <v>0</v>
      </c>
      <c r="E72" s="491">
        <f>IF(+I14&lt;F71,I14,D72)</f>
        <v>0</v>
      </c>
      <c r="F72" s="490">
        <f t="shared" si="20"/>
        <v>0</v>
      </c>
      <c r="G72" s="492">
        <f t="shared" si="18"/>
        <v>0</v>
      </c>
      <c r="H72" s="435">
        <f t="shared" si="19"/>
        <v>0</v>
      </c>
      <c r="I72" s="493">
        <f t="shared" si="21"/>
        <v>0</v>
      </c>
      <c r="J72" s="475"/>
      <c r="K72" s="494"/>
      <c r="L72" s="495">
        <f t="shared" si="22"/>
        <v>0</v>
      </c>
      <c r="M72" s="494"/>
      <c r="N72" s="495">
        <f t="shared" si="23"/>
        <v>0</v>
      </c>
      <c r="O72" s="495">
        <f t="shared" si="24"/>
        <v>0</v>
      </c>
      <c r="P72" s="242"/>
    </row>
    <row r="73" spans="2:16">
      <c r="C73" s="346" t="s">
        <v>77</v>
      </c>
      <c r="D73" s="347"/>
      <c r="E73" s="347">
        <f>SUM(E17:E72)</f>
        <v>1520502.0000000007</v>
      </c>
      <c r="F73" s="347"/>
      <c r="G73" s="347">
        <f>SUM(G17:G72)</f>
        <v>5470698.3018339435</v>
      </c>
      <c r="H73" s="347">
        <f>SUM(H17:H72)</f>
        <v>5470698.3018339435</v>
      </c>
      <c r="I73" s="347">
        <f>SUM(I17:I72)</f>
        <v>0</v>
      </c>
      <c r="J73" s="347"/>
      <c r="K73" s="347"/>
      <c r="L73" s="347"/>
      <c r="M73" s="347"/>
      <c r="N73" s="347"/>
      <c r="O73" s="242"/>
      <c r="P73" s="242"/>
    </row>
    <row r="74" spans="2:16">
      <c r="D74" s="240"/>
      <c r="E74" s="232"/>
      <c r="F74" s="232"/>
      <c r="G74" s="232"/>
      <c r="H74" s="241"/>
      <c r="I74" s="241"/>
      <c r="J74" s="347"/>
      <c r="K74" s="241"/>
      <c r="L74" s="241"/>
      <c r="M74" s="241"/>
      <c r="N74" s="241"/>
      <c r="O74" s="232"/>
      <c r="P74" s="232"/>
    </row>
    <row r="75" spans="2:16">
      <c r="C75" s="496" t="s">
        <v>106</v>
      </c>
      <c r="D75" s="240"/>
      <c r="E75" s="232"/>
      <c r="F75" s="232"/>
      <c r="G75" s="232"/>
      <c r="H75" s="241"/>
      <c r="I75" s="241"/>
      <c r="J75" s="347"/>
      <c r="K75" s="241"/>
      <c r="L75" s="241"/>
      <c r="M75" s="241"/>
      <c r="N75" s="241"/>
      <c r="O75" s="232"/>
      <c r="P75" s="232"/>
    </row>
    <row r="76" spans="2:16">
      <c r="C76" s="431" t="s">
        <v>78</v>
      </c>
      <c r="D76" s="240"/>
      <c r="E76" s="232"/>
      <c r="F76" s="232"/>
      <c r="G76" s="232"/>
      <c r="H76" s="241"/>
      <c r="I76" s="241"/>
      <c r="J76" s="347"/>
      <c r="K76" s="241"/>
      <c r="L76" s="241"/>
      <c r="M76" s="241"/>
      <c r="N76" s="241"/>
      <c r="O76" s="242"/>
      <c r="P76" s="242"/>
    </row>
    <row r="77" spans="2:16">
      <c r="C77" s="431" t="s">
        <v>79</v>
      </c>
      <c r="D77" s="346"/>
      <c r="E77" s="346"/>
      <c r="F77" s="346"/>
      <c r="G77" s="347"/>
      <c r="H77" s="347"/>
      <c r="I77" s="348"/>
      <c r="J77" s="348"/>
      <c r="K77" s="348"/>
      <c r="L77" s="348"/>
      <c r="M77" s="348"/>
      <c r="N77" s="348"/>
      <c r="O77" s="242"/>
      <c r="P77" s="242"/>
    </row>
    <row r="78" spans="2:16">
      <c r="C78" s="431"/>
      <c r="D78" s="346"/>
      <c r="E78" s="346"/>
      <c r="F78" s="346"/>
      <c r="G78" s="347"/>
      <c r="H78" s="347"/>
      <c r="I78" s="348"/>
      <c r="J78" s="348"/>
      <c r="K78" s="348"/>
      <c r="L78" s="348"/>
      <c r="M78" s="348"/>
      <c r="N78" s="348"/>
      <c r="O78" s="242"/>
      <c r="P78" s="232"/>
    </row>
    <row r="79" spans="2:16">
      <c r="B79" s="232"/>
      <c r="C79" s="311"/>
      <c r="D79" s="240"/>
      <c r="E79" s="232"/>
      <c r="F79" s="344"/>
      <c r="G79" s="232"/>
      <c r="H79" s="241"/>
      <c r="I79" s="232"/>
      <c r="J79" s="242"/>
      <c r="K79" s="232"/>
      <c r="L79" s="232"/>
      <c r="M79" s="232"/>
      <c r="N79" s="232"/>
      <c r="O79" s="232"/>
      <c r="P79" s="232"/>
    </row>
    <row r="80" spans="2:16" ht="18">
      <c r="B80" s="232"/>
      <c r="C80" s="499"/>
      <c r="D80" s="240"/>
      <c r="E80" s="232"/>
      <c r="F80" s="344"/>
      <c r="G80" s="232"/>
      <c r="H80" s="241"/>
      <c r="I80" s="232"/>
      <c r="J80" s="242"/>
      <c r="K80" s="232"/>
      <c r="L80" s="232"/>
      <c r="M80" s="232"/>
      <c r="N80" s="232"/>
      <c r="P80" s="500" t="s">
        <v>144</v>
      </c>
    </row>
    <row r="81" spans="1:16">
      <c r="B81" s="232"/>
      <c r="C81" s="311"/>
      <c r="D81" s="240"/>
      <c r="E81" s="232"/>
      <c r="F81" s="344"/>
      <c r="G81" s="232"/>
      <c r="H81" s="241"/>
      <c r="I81" s="232"/>
      <c r="J81" s="242"/>
      <c r="K81" s="232"/>
      <c r="L81" s="232"/>
      <c r="M81" s="232"/>
      <c r="N81" s="232"/>
      <c r="O81" s="232"/>
      <c r="P81" s="232"/>
    </row>
    <row r="82" spans="1:16">
      <c r="B82" s="232"/>
      <c r="C82" s="311"/>
      <c r="D82" s="240"/>
      <c r="E82" s="232"/>
      <c r="F82" s="344"/>
      <c r="G82" s="232"/>
      <c r="H82" s="241"/>
      <c r="I82" s="232"/>
      <c r="J82" s="242"/>
      <c r="K82" s="232"/>
      <c r="L82" s="232"/>
      <c r="M82" s="232"/>
      <c r="N82" s="232"/>
      <c r="O82" s="232"/>
      <c r="P82" s="232"/>
    </row>
    <row r="83" spans="1:16" ht="20.25">
      <c r="A83" s="415" t="s">
        <v>146</v>
      </c>
      <c r="B83" s="232"/>
      <c r="C83" s="311"/>
      <c r="D83" s="240"/>
      <c r="E83" s="232"/>
      <c r="F83" s="338"/>
      <c r="G83" s="338"/>
      <c r="H83" s="232"/>
      <c r="I83" s="241"/>
      <c r="K83" s="195"/>
      <c r="L83" s="416"/>
      <c r="M83" s="416"/>
      <c r="P83" s="497" t="str">
        <f ca="1">P1</f>
        <v>PSO Project 6 of 31</v>
      </c>
    </row>
    <row r="84" spans="1:16" ht="18">
      <c r="B84" s="232"/>
      <c r="C84" s="232"/>
      <c r="D84" s="240"/>
      <c r="E84" s="232"/>
      <c r="F84" s="232"/>
      <c r="G84" s="232"/>
      <c r="H84" s="232"/>
      <c r="I84" s="241"/>
      <c r="J84" s="232"/>
      <c r="K84" s="242"/>
      <c r="L84" s="232"/>
      <c r="M84" s="232"/>
      <c r="P84" s="418" t="s">
        <v>151</v>
      </c>
    </row>
    <row r="85" spans="1:16" ht="18.75" thickBot="1">
      <c r="B85" s="302" t="s">
        <v>42</v>
      </c>
      <c r="C85" s="501" t="s">
        <v>91</v>
      </c>
      <c r="D85" s="240"/>
      <c r="E85" s="232"/>
      <c r="F85" s="232"/>
      <c r="G85" s="232"/>
      <c r="H85" s="232"/>
      <c r="I85" s="241"/>
      <c r="J85" s="241"/>
      <c r="K85" s="347"/>
      <c r="L85" s="241"/>
      <c r="M85" s="241"/>
      <c r="N85" s="241"/>
      <c r="O85" s="347"/>
      <c r="P85" s="232"/>
    </row>
    <row r="86" spans="1:16" ht="15.75" thickBot="1">
      <c r="C86" s="301"/>
      <c r="D86" s="240"/>
      <c r="E86" s="232"/>
      <c r="F86" s="232"/>
      <c r="G86" s="232"/>
      <c r="H86" s="232"/>
      <c r="I86" s="241"/>
      <c r="J86" s="241"/>
      <c r="K86" s="347"/>
      <c r="L86" s="502">
        <f>+J92</f>
        <v>2020</v>
      </c>
      <c r="M86" s="503" t="s">
        <v>8</v>
      </c>
      <c r="N86" s="504" t="s">
        <v>153</v>
      </c>
      <c r="O86" s="505" t="s">
        <v>10</v>
      </c>
      <c r="P86" s="232"/>
    </row>
    <row r="87" spans="1:16" ht="15">
      <c r="C87" s="239" t="s">
        <v>44</v>
      </c>
      <c r="D87" s="240"/>
      <c r="E87" s="232"/>
      <c r="F87" s="232"/>
      <c r="G87" s="232"/>
      <c r="H87" s="421"/>
      <c r="I87" s="232" t="s">
        <v>45</v>
      </c>
      <c r="J87" s="232"/>
      <c r="K87" s="506"/>
      <c r="L87" s="507" t="s">
        <v>154</v>
      </c>
      <c r="M87" s="508">
        <f>IF(J92&lt;D11,0,VLOOKUP(J92,C17:O72,9))</f>
        <v>160493.01101346352</v>
      </c>
      <c r="N87" s="508">
        <f>IF(J92&lt;D11,0,VLOOKUP(J92,C17:O72,11))</f>
        <v>160493.01101346352</v>
      </c>
      <c r="O87" s="509">
        <f>+N87-M87</f>
        <v>0</v>
      </c>
      <c r="P87" s="232"/>
    </row>
    <row r="88" spans="1:16" ht="15.75">
      <c r="C88" s="244"/>
      <c r="D88" s="240"/>
      <c r="E88" s="232"/>
      <c r="F88" s="232"/>
      <c r="G88" s="232"/>
      <c r="H88" s="232"/>
      <c r="I88" s="426"/>
      <c r="J88" s="426"/>
      <c r="K88" s="510"/>
      <c r="L88" s="511" t="s">
        <v>155</v>
      </c>
      <c r="M88" s="512">
        <f>IF(J92&lt;D11,0,VLOOKUP(J92,C99:P154,6))</f>
        <v>167027.75084448946</v>
      </c>
      <c r="N88" s="512">
        <f>IF(J92&lt;D11,0,VLOOKUP(J92,C99:P154,7))</f>
        <v>167027.75084448946</v>
      </c>
      <c r="O88" s="513">
        <f>+N88-M88</f>
        <v>0</v>
      </c>
      <c r="P88" s="232"/>
    </row>
    <row r="89" spans="1:16" ht="13.5" thickBot="1">
      <c r="C89" s="431" t="s">
        <v>92</v>
      </c>
      <c r="D89" s="514" t="str">
        <f>+D7</f>
        <v>Pryor Junction 138/69 Upgrade Transf</v>
      </c>
      <c r="E89" s="232"/>
      <c r="F89" s="232"/>
      <c r="G89" s="232"/>
      <c r="H89" s="232"/>
      <c r="I89" s="241"/>
      <c r="J89" s="241"/>
      <c r="K89" s="515"/>
      <c r="L89" s="516" t="s">
        <v>156</v>
      </c>
      <c r="M89" s="517">
        <f>+M88-M87</f>
        <v>6534.739831025945</v>
      </c>
      <c r="N89" s="517">
        <f>+N88-N87</f>
        <v>6534.739831025945</v>
      </c>
      <c r="O89" s="518">
        <f>+O88-O87</f>
        <v>0</v>
      </c>
      <c r="P89" s="232"/>
    </row>
    <row r="90" spans="1:16" ht="13.5" thickBot="1">
      <c r="C90" s="496"/>
      <c r="D90" s="519">
        <f>D8</f>
        <v>0</v>
      </c>
      <c r="E90" s="344"/>
      <c r="F90" s="344"/>
      <c r="G90" s="344"/>
      <c r="H90" s="438"/>
      <c r="I90" s="241"/>
      <c r="J90" s="241"/>
      <c r="K90" s="347"/>
      <c r="L90" s="241"/>
      <c r="M90" s="241"/>
      <c r="N90" s="241"/>
      <c r="O90" s="347"/>
      <c r="P90" s="232"/>
    </row>
    <row r="91" spans="1:16" ht="13.5" thickBot="1">
      <c r="A91" s="155"/>
      <c r="C91" s="520" t="s">
        <v>93</v>
      </c>
      <c r="D91" s="521" t="str">
        <f>+D9</f>
        <v>TP2006090</v>
      </c>
      <c r="E91" s="522"/>
      <c r="F91" s="522"/>
      <c r="G91" s="522"/>
      <c r="H91" s="522"/>
      <c r="I91" s="522"/>
      <c r="J91" s="522"/>
      <c r="K91" s="524"/>
      <c r="P91" s="445"/>
    </row>
    <row r="92" spans="1:16">
      <c r="C92" s="446" t="s">
        <v>226</v>
      </c>
      <c r="D92" s="447">
        <v>1520502</v>
      </c>
      <c r="E92" s="311" t="s">
        <v>94</v>
      </c>
      <c r="H92" s="448"/>
      <c r="I92" s="448"/>
      <c r="J92" s="449">
        <f>+'PSO.WS.G.BPU.ATRR.True-up'!M16</f>
        <v>2020</v>
      </c>
      <c r="K92" s="444"/>
      <c r="L92" s="347" t="s">
        <v>95</v>
      </c>
      <c r="P92" s="242"/>
    </row>
    <row r="93" spans="1:16">
      <c r="C93" s="450" t="s">
        <v>53</v>
      </c>
      <c r="D93" s="525">
        <f>IF(D11=I10,"",D11)</f>
        <v>2008</v>
      </c>
      <c r="E93" s="450" t="s">
        <v>54</v>
      </c>
      <c r="F93" s="448"/>
      <c r="G93" s="448"/>
      <c r="J93" s="452">
        <f>IF(H87="",0,'PSO.WS.G.BPU.ATRR.True-up'!$F$13)</f>
        <v>0</v>
      </c>
      <c r="K93" s="453"/>
      <c r="L93" s="148" t="str">
        <f>"          INPUT TRUE-UP ARR (WITH &amp; WITHOUT INCENTIVES) FROM EACH PRIOR YEAR"</f>
        <v xml:space="preserve">          INPUT TRUE-UP ARR (WITH &amp; WITHOUT INCENTIVES) FROM EACH PRIOR YEAR</v>
      </c>
      <c r="P93" s="242"/>
    </row>
    <row r="94" spans="1:16">
      <c r="C94" s="450" t="s">
        <v>55</v>
      </c>
      <c r="D94" s="526">
        <f>IF(D11=I10,"",D12)</f>
        <v>4</v>
      </c>
      <c r="E94" s="450" t="s">
        <v>56</v>
      </c>
      <c r="F94" s="448"/>
      <c r="G94" s="448"/>
      <c r="J94" s="454">
        <f>'PSO.WS.G.BPU.ATRR.True-up'!$F$81</f>
        <v>0.10781124580725182</v>
      </c>
      <c r="K94" s="396"/>
      <c r="L94" s="148" t="s">
        <v>96</v>
      </c>
      <c r="P94" s="242"/>
    </row>
    <row r="95" spans="1:16">
      <c r="C95" s="450" t="s">
        <v>58</v>
      </c>
      <c r="D95" s="452">
        <f>'PSO.WS.G.BPU.ATRR.True-up'!F$93</f>
        <v>42</v>
      </c>
      <c r="E95" s="450" t="s">
        <v>59</v>
      </c>
      <c r="F95" s="448"/>
      <c r="G95" s="448"/>
      <c r="J95" s="454">
        <f>IF(H87="",J94,'PSO.WS.G.BPU.ATRR.True-up'!$F$80)</f>
        <v>0.10781124580725182</v>
      </c>
      <c r="K95" s="294"/>
      <c r="L95" s="347" t="s">
        <v>60</v>
      </c>
      <c r="M95" s="294"/>
      <c r="N95" s="294"/>
      <c r="O95" s="294"/>
      <c r="P95" s="242"/>
    </row>
    <row r="96" spans="1:16" ht="13.5" thickBot="1">
      <c r="C96" s="450" t="s">
        <v>61</v>
      </c>
      <c r="D96" s="527" t="str">
        <f>+D14</f>
        <v>No</v>
      </c>
      <c r="E96" s="528" t="s">
        <v>63</v>
      </c>
      <c r="F96" s="529"/>
      <c r="G96" s="529"/>
      <c r="H96" s="530"/>
      <c r="I96" s="530"/>
      <c r="J96" s="435">
        <f>IF(D92=0,0,ROUND(D92/D95,0))</f>
        <v>36202</v>
      </c>
      <c r="K96" s="347"/>
      <c r="L96" s="347"/>
      <c r="M96" s="347"/>
      <c r="N96" s="347"/>
      <c r="O96" s="347"/>
      <c r="P96" s="242"/>
    </row>
    <row r="97" spans="1:16" ht="38.25">
      <c r="A97" s="374"/>
      <c r="B97" s="374"/>
      <c r="C97" s="531" t="s">
        <v>50</v>
      </c>
      <c r="D97" s="532" t="s">
        <v>64</v>
      </c>
      <c r="E97" s="463" t="s">
        <v>65</v>
      </c>
      <c r="F97" s="463" t="s">
        <v>66</v>
      </c>
      <c r="G97" s="457" t="s">
        <v>101</v>
      </c>
      <c r="H97" s="533" t="s">
        <v>286</v>
      </c>
      <c r="I97" s="461" t="s">
        <v>287</v>
      </c>
      <c r="J97" s="531" t="s">
        <v>98</v>
      </c>
      <c r="K97" s="534"/>
      <c r="L97" s="461" t="s">
        <v>211</v>
      </c>
      <c r="M97" s="463" t="s">
        <v>99</v>
      </c>
      <c r="N97" s="461" t="s">
        <v>211</v>
      </c>
      <c r="O97" s="463" t="s">
        <v>99</v>
      </c>
      <c r="P97" s="463" t="s">
        <v>69</v>
      </c>
    </row>
    <row r="98" spans="1:16" ht="13.5" thickBot="1">
      <c r="C98" s="464" t="s">
        <v>70</v>
      </c>
      <c r="D98" s="535" t="s">
        <v>71</v>
      </c>
      <c r="E98" s="464" t="s">
        <v>72</v>
      </c>
      <c r="F98" s="464" t="s">
        <v>71</v>
      </c>
      <c r="G98" s="464" t="s">
        <v>71</v>
      </c>
      <c r="H98" s="536" t="s">
        <v>73</v>
      </c>
      <c r="I98" s="466" t="s">
        <v>74</v>
      </c>
      <c r="J98" s="467" t="s">
        <v>104</v>
      </c>
      <c r="K98" s="468"/>
      <c r="L98" s="469" t="s">
        <v>76</v>
      </c>
      <c r="M98" s="469" t="s">
        <v>76</v>
      </c>
      <c r="N98" s="469" t="s">
        <v>105</v>
      </c>
      <c r="O98" s="469" t="s">
        <v>105</v>
      </c>
      <c r="P98" s="469" t="s">
        <v>105</v>
      </c>
    </row>
    <row r="99" spans="1:16">
      <c r="C99" s="472">
        <f>IF(D93= "","-",D93)</f>
        <v>2008</v>
      </c>
      <c r="D99" s="473">
        <v>0</v>
      </c>
      <c r="E99" s="480">
        <v>19125</v>
      </c>
      <c r="F99" s="479">
        <v>1501348</v>
      </c>
      <c r="G99" s="537">
        <v>750764</v>
      </c>
      <c r="H99" s="538">
        <v>138367</v>
      </c>
      <c r="I99" s="539">
        <v>138367</v>
      </c>
      <c r="J99" s="478">
        <f t="shared" ref="J99:J130" si="25">+I99-H99</f>
        <v>0</v>
      </c>
      <c r="K99" s="478"/>
      <c r="L99" s="554">
        <v>138367</v>
      </c>
      <c r="M99" s="477">
        <f t="shared" ref="M99:M130" si="26">IF(L99&lt;&gt;0,+H99-L99,0)</f>
        <v>0</v>
      </c>
      <c r="N99" s="554">
        <v>138367</v>
      </c>
      <c r="O99" s="477">
        <f t="shared" ref="O99:O130" si="27">IF(N99&lt;&gt;0,+I99-N99,0)</f>
        <v>0</v>
      </c>
      <c r="P99" s="477">
        <f t="shared" ref="P99:P130" si="28">+O99-M99</f>
        <v>0</v>
      </c>
    </row>
    <row r="100" spans="1:16">
      <c r="B100" s="160" t="str">
        <f>IF(D100=F99,"","IU")</f>
        <v>IU</v>
      </c>
      <c r="C100" s="472">
        <f>IF(D93="","-",+C99+1)</f>
        <v>2009</v>
      </c>
      <c r="D100" s="473">
        <v>1501377</v>
      </c>
      <c r="E100" s="480">
        <v>27152</v>
      </c>
      <c r="F100" s="479">
        <v>1474225</v>
      </c>
      <c r="G100" s="479">
        <v>1487801</v>
      </c>
      <c r="H100" s="480">
        <v>244680.82784018715</v>
      </c>
      <c r="I100" s="481">
        <v>244680.82784018715</v>
      </c>
      <c r="J100" s="478">
        <f t="shared" si="25"/>
        <v>0</v>
      </c>
      <c r="K100" s="478"/>
      <c r="L100" s="540">
        <f t="shared" ref="L100:L105" si="29">H100</f>
        <v>244680.82784018715</v>
      </c>
      <c r="M100" s="541">
        <f t="shared" si="26"/>
        <v>0</v>
      </c>
      <c r="N100" s="540">
        <f t="shared" ref="N100:N105" si="30">I100</f>
        <v>244680.82784018715</v>
      </c>
      <c r="O100" s="478">
        <f t="shared" si="27"/>
        <v>0</v>
      </c>
      <c r="P100" s="478">
        <f t="shared" si="28"/>
        <v>0</v>
      </c>
    </row>
    <row r="101" spans="1:16">
      <c r="B101" s="160" t="str">
        <f t="shared" ref="B101:B154" si="31">IF(D101=F100,"","IU")</f>
        <v/>
      </c>
      <c r="C101" s="472">
        <f>IF(D93="","-",+C100+1)</f>
        <v>2010</v>
      </c>
      <c r="D101" s="473">
        <v>1474225</v>
      </c>
      <c r="E101" s="480">
        <v>29814</v>
      </c>
      <c r="F101" s="479">
        <v>1444411</v>
      </c>
      <c r="G101" s="479">
        <v>1459318</v>
      </c>
      <c r="H101" s="480">
        <v>264494.5477733505</v>
      </c>
      <c r="I101" s="481">
        <v>264494.5477733505</v>
      </c>
      <c r="J101" s="478">
        <f t="shared" si="25"/>
        <v>0</v>
      </c>
      <c r="K101" s="478"/>
      <c r="L101" s="540">
        <f t="shared" si="29"/>
        <v>264494.5477733505</v>
      </c>
      <c r="M101" s="541">
        <f t="shared" si="26"/>
        <v>0</v>
      </c>
      <c r="N101" s="540">
        <f t="shared" si="30"/>
        <v>264494.5477733505</v>
      </c>
      <c r="O101" s="478">
        <f t="shared" si="27"/>
        <v>0</v>
      </c>
      <c r="P101" s="478">
        <f t="shared" si="28"/>
        <v>0</v>
      </c>
    </row>
    <row r="102" spans="1:16">
      <c r="B102" s="160" t="str">
        <f t="shared" si="31"/>
        <v/>
      </c>
      <c r="C102" s="472">
        <f>IF(D93="","-",+C101+1)</f>
        <v>2011</v>
      </c>
      <c r="D102" s="473">
        <v>1444411</v>
      </c>
      <c r="E102" s="480">
        <v>29240</v>
      </c>
      <c r="F102" s="479">
        <v>1415171</v>
      </c>
      <c r="G102" s="479">
        <v>1429791</v>
      </c>
      <c r="H102" s="480">
        <v>229143.9952359481</v>
      </c>
      <c r="I102" s="481">
        <v>229143.9952359481</v>
      </c>
      <c r="J102" s="478">
        <f t="shared" si="25"/>
        <v>0</v>
      </c>
      <c r="K102" s="478"/>
      <c r="L102" s="540">
        <f t="shared" si="29"/>
        <v>229143.9952359481</v>
      </c>
      <c r="M102" s="541">
        <f t="shared" si="26"/>
        <v>0</v>
      </c>
      <c r="N102" s="540">
        <f t="shared" si="30"/>
        <v>229143.9952359481</v>
      </c>
      <c r="O102" s="478">
        <f t="shared" si="27"/>
        <v>0</v>
      </c>
      <c r="P102" s="478">
        <f t="shared" si="28"/>
        <v>0</v>
      </c>
    </row>
    <row r="103" spans="1:16">
      <c r="B103" s="160" t="str">
        <f t="shared" si="31"/>
        <v/>
      </c>
      <c r="C103" s="472">
        <f>IF(D93="","-",+C102+1)</f>
        <v>2012</v>
      </c>
      <c r="D103" s="473">
        <v>1415171</v>
      </c>
      <c r="E103" s="480">
        <v>29240</v>
      </c>
      <c r="F103" s="479">
        <v>1385931</v>
      </c>
      <c r="G103" s="479">
        <v>1400551</v>
      </c>
      <c r="H103" s="480">
        <v>230716.93888695308</v>
      </c>
      <c r="I103" s="481">
        <v>230716.93888695308</v>
      </c>
      <c r="J103" s="478">
        <v>0</v>
      </c>
      <c r="K103" s="478"/>
      <c r="L103" s="540">
        <f t="shared" si="29"/>
        <v>230716.93888695308</v>
      </c>
      <c r="M103" s="541">
        <f t="shared" ref="M103:M108" si="32">IF(L103&lt;&gt;0,+H103-L103,0)</f>
        <v>0</v>
      </c>
      <c r="N103" s="540">
        <f t="shared" si="30"/>
        <v>230716.93888695308</v>
      </c>
      <c r="O103" s="478">
        <f t="shared" ref="O103:O108" si="33">IF(N103&lt;&gt;0,+I103-N103,0)</f>
        <v>0</v>
      </c>
      <c r="P103" s="478">
        <f t="shared" ref="P103:P108" si="34">+O103-M103</f>
        <v>0</v>
      </c>
    </row>
    <row r="104" spans="1:16">
      <c r="B104" s="160" t="str">
        <f t="shared" si="31"/>
        <v/>
      </c>
      <c r="C104" s="472">
        <f>IF(D93="","-",+C103+1)</f>
        <v>2013</v>
      </c>
      <c r="D104" s="473">
        <v>1385931</v>
      </c>
      <c r="E104" s="480">
        <v>29240</v>
      </c>
      <c r="F104" s="479">
        <v>1356691</v>
      </c>
      <c r="G104" s="479">
        <v>1371311</v>
      </c>
      <c r="H104" s="480">
        <v>226625.94850487544</v>
      </c>
      <c r="I104" s="481">
        <v>226625.94850487544</v>
      </c>
      <c r="J104" s="478">
        <v>0</v>
      </c>
      <c r="K104" s="478"/>
      <c r="L104" s="540">
        <f t="shared" si="29"/>
        <v>226625.94850487544</v>
      </c>
      <c r="M104" s="541">
        <f t="shared" si="32"/>
        <v>0</v>
      </c>
      <c r="N104" s="540">
        <f t="shared" si="30"/>
        <v>226625.94850487544</v>
      </c>
      <c r="O104" s="478">
        <f t="shared" si="33"/>
        <v>0</v>
      </c>
      <c r="P104" s="478">
        <f t="shared" si="34"/>
        <v>0</v>
      </c>
    </row>
    <row r="105" spans="1:16">
      <c r="B105" s="160" t="str">
        <f t="shared" si="31"/>
        <v/>
      </c>
      <c r="C105" s="472">
        <f>IF(D93="","-",+C104+1)</f>
        <v>2014</v>
      </c>
      <c r="D105" s="473">
        <v>1356691</v>
      </c>
      <c r="E105" s="480">
        <v>29240</v>
      </c>
      <c r="F105" s="479">
        <v>1327451</v>
      </c>
      <c r="G105" s="479">
        <v>1342071</v>
      </c>
      <c r="H105" s="480">
        <v>217929.69653942893</v>
      </c>
      <c r="I105" s="481">
        <v>217929.69653942893</v>
      </c>
      <c r="J105" s="478">
        <v>0</v>
      </c>
      <c r="K105" s="478"/>
      <c r="L105" s="540">
        <f t="shared" si="29"/>
        <v>217929.69653942893</v>
      </c>
      <c r="M105" s="541">
        <f t="shared" si="32"/>
        <v>0</v>
      </c>
      <c r="N105" s="540">
        <f t="shared" si="30"/>
        <v>217929.69653942893</v>
      </c>
      <c r="O105" s="478">
        <f t="shared" si="33"/>
        <v>0</v>
      </c>
      <c r="P105" s="478">
        <f t="shared" si="34"/>
        <v>0</v>
      </c>
    </row>
    <row r="106" spans="1:16">
      <c r="B106" s="160" t="str">
        <f t="shared" si="31"/>
        <v/>
      </c>
      <c r="C106" s="472">
        <f>IF(D93="","-",+C105+1)</f>
        <v>2015</v>
      </c>
      <c r="D106" s="473">
        <v>1327451</v>
      </c>
      <c r="E106" s="480">
        <v>29240</v>
      </c>
      <c r="F106" s="479">
        <v>1298211</v>
      </c>
      <c r="G106" s="479">
        <v>1312831</v>
      </c>
      <c r="H106" s="480">
        <v>208365.23426858318</v>
      </c>
      <c r="I106" s="481">
        <v>208365.23426858318</v>
      </c>
      <c r="J106" s="478">
        <f t="shared" si="25"/>
        <v>0</v>
      </c>
      <c r="K106" s="478"/>
      <c r="L106" s="540">
        <f t="shared" ref="L106:L111" si="35">H106</f>
        <v>208365.23426858318</v>
      </c>
      <c r="M106" s="541">
        <f t="shared" si="32"/>
        <v>0</v>
      </c>
      <c r="N106" s="540">
        <f t="shared" ref="N106:N111" si="36">I106</f>
        <v>208365.23426858318</v>
      </c>
      <c r="O106" s="478">
        <f t="shared" si="33"/>
        <v>0</v>
      </c>
      <c r="P106" s="478">
        <f t="shared" si="34"/>
        <v>0</v>
      </c>
    </row>
    <row r="107" spans="1:16">
      <c r="B107" s="160" t="str">
        <f t="shared" si="31"/>
        <v/>
      </c>
      <c r="C107" s="472">
        <f>IF(D93="","-",+C106+1)</f>
        <v>2016</v>
      </c>
      <c r="D107" s="473">
        <v>1298211</v>
      </c>
      <c r="E107" s="480">
        <v>33054</v>
      </c>
      <c r="F107" s="479">
        <v>1265157</v>
      </c>
      <c r="G107" s="479">
        <v>1281684</v>
      </c>
      <c r="H107" s="480">
        <v>198283.25268027262</v>
      </c>
      <c r="I107" s="481">
        <v>198283.25268027262</v>
      </c>
      <c r="J107" s="478">
        <f t="shared" si="25"/>
        <v>0</v>
      </c>
      <c r="K107" s="478"/>
      <c r="L107" s="540">
        <f t="shared" si="35"/>
        <v>198283.25268027262</v>
      </c>
      <c r="M107" s="541">
        <f t="shared" si="32"/>
        <v>0</v>
      </c>
      <c r="N107" s="540">
        <f t="shared" si="36"/>
        <v>198283.25268027262</v>
      </c>
      <c r="O107" s="478">
        <f t="shared" si="33"/>
        <v>0</v>
      </c>
      <c r="P107" s="478">
        <f t="shared" si="34"/>
        <v>0</v>
      </c>
    </row>
    <row r="108" spans="1:16">
      <c r="B108" s="160" t="str">
        <f t="shared" si="31"/>
        <v/>
      </c>
      <c r="C108" s="472">
        <f>IF(D93="","-",+C107+1)</f>
        <v>2017</v>
      </c>
      <c r="D108" s="473">
        <v>1265157</v>
      </c>
      <c r="E108" s="480">
        <v>33054</v>
      </c>
      <c r="F108" s="479">
        <v>1232103</v>
      </c>
      <c r="G108" s="479">
        <v>1248630</v>
      </c>
      <c r="H108" s="480">
        <v>191445.86392166355</v>
      </c>
      <c r="I108" s="481">
        <v>191445.86392166355</v>
      </c>
      <c r="J108" s="478">
        <f t="shared" si="25"/>
        <v>0</v>
      </c>
      <c r="K108" s="478"/>
      <c r="L108" s="540">
        <f t="shared" si="35"/>
        <v>191445.86392166355</v>
      </c>
      <c r="M108" s="541">
        <f t="shared" si="32"/>
        <v>0</v>
      </c>
      <c r="N108" s="540">
        <f t="shared" si="36"/>
        <v>191445.86392166355</v>
      </c>
      <c r="O108" s="478">
        <f t="shared" si="33"/>
        <v>0</v>
      </c>
      <c r="P108" s="478">
        <f t="shared" si="34"/>
        <v>0</v>
      </c>
    </row>
    <row r="109" spans="1:16">
      <c r="B109" s="160" t="str">
        <f t="shared" si="31"/>
        <v/>
      </c>
      <c r="C109" s="472">
        <f>IF(D93="","-",+C108+1)</f>
        <v>2018</v>
      </c>
      <c r="D109" s="473">
        <v>1232103</v>
      </c>
      <c r="E109" s="480">
        <v>35361</v>
      </c>
      <c r="F109" s="479">
        <v>1196742</v>
      </c>
      <c r="G109" s="479">
        <v>1214422.5</v>
      </c>
      <c r="H109" s="480">
        <v>160125.3839048628</v>
      </c>
      <c r="I109" s="481">
        <v>160125.3839048628</v>
      </c>
      <c r="J109" s="478">
        <f t="shared" si="25"/>
        <v>0</v>
      </c>
      <c r="K109" s="478"/>
      <c r="L109" s="540">
        <f t="shared" si="35"/>
        <v>160125.3839048628</v>
      </c>
      <c r="M109" s="541">
        <f t="shared" ref="M109" si="37">IF(L109&lt;&gt;0,+H109-L109,0)</f>
        <v>0</v>
      </c>
      <c r="N109" s="540">
        <f t="shared" si="36"/>
        <v>160125.3839048628</v>
      </c>
      <c r="O109" s="478">
        <f t="shared" ref="O109" si="38">IF(N109&lt;&gt;0,+I109-N109,0)</f>
        <v>0</v>
      </c>
      <c r="P109" s="478">
        <f t="shared" ref="P109" si="39">+O109-M109</f>
        <v>0</v>
      </c>
    </row>
    <row r="110" spans="1:16">
      <c r="B110" s="160" t="str">
        <f t="shared" si="31"/>
        <v/>
      </c>
      <c r="C110" s="472">
        <f>IF(D93="","-",+C109+1)</f>
        <v>2019</v>
      </c>
      <c r="D110" s="473">
        <v>1196742</v>
      </c>
      <c r="E110" s="480">
        <v>37085</v>
      </c>
      <c r="F110" s="479">
        <v>1159657</v>
      </c>
      <c r="G110" s="479">
        <v>1178199.5</v>
      </c>
      <c r="H110" s="480">
        <v>158573.89397118561</v>
      </c>
      <c r="I110" s="481">
        <v>158573.89397118561</v>
      </c>
      <c r="J110" s="478">
        <f t="shared" si="25"/>
        <v>0</v>
      </c>
      <c r="K110" s="478"/>
      <c r="L110" s="540">
        <f t="shared" si="35"/>
        <v>158573.89397118561</v>
      </c>
      <c r="M110" s="541">
        <f t="shared" ref="M110:M111" si="40">IF(L110&lt;&gt;0,+H110-L110,0)</f>
        <v>0</v>
      </c>
      <c r="N110" s="540">
        <f t="shared" si="36"/>
        <v>158573.89397118561</v>
      </c>
      <c r="O110" s="478">
        <f t="shared" si="27"/>
        <v>0</v>
      </c>
      <c r="P110" s="478">
        <f t="shared" si="28"/>
        <v>0</v>
      </c>
    </row>
    <row r="111" spans="1:16">
      <c r="B111" s="160" t="str">
        <f t="shared" si="31"/>
        <v/>
      </c>
      <c r="C111" s="472">
        <f>IF(D93="","-",+C110+1)</f>
        <v>2020</v>
      </c>
      <c r="D111" s="473">
        <v>1159657</v>
      </c>
      <c r="E111" s="480">
        <v>35361</v>
      </c>
      <c r="F111" s="479">
        <v>1124296</v>
      </c>
      <c r="G111" s="479">
        <v>1141976.5</v>
      </c>
      <c r="H111" s="480">
        <v>167027.75084448946</v>
      </c>
      <c r="I111" s="481">
        <v>167027.75084448946</v>
      </c>
      <c r="J111" s="478">
        <f t="shared" si="25"/>
        <v>0</v>
      </c>
      <c r="K111" s="478"/>
      <c r="L111" s="540">
        <f t="shared" si="35"/>
        <v>167027.75084448946</v>
      </c>
      <c r="M111" s="541">
        <f t="shared" si="40"/>
        <v>0</v>
      </c>
      <c r="N111" s="540">
        <f t="shared" si="36"/>
        <v>167027.75084448946</v>
      </c>
      <c r="O111" s="478">
        <f t="shared" si="27"/>
        <v>0</v>
      </c>
      <c r="P111" s="478">
        <f t="shared" si="28"/>
        <v>0</v>
      </c>
    </row>
    <row r="112" spans="1:16">
      <c r="B112" s="160" t="str">
        <f t="shared" si="31"/>
        <v/>
      </c>
      <c r="C112" s="472">
        <f>IF(D93="","-",+C111+1)</f>
        <v>2021</v>
      </c>
      <c r="D112" s="346">
        <f>IF(F111+SUM(E$99:E111)=D$92,F111,D$92-SUM(E$99:E111))</f>
        <v>1124296</v>
      </c>
      <c r="E112" s="486">
        <f>IF(+J96&lt;F111,J96,D112)</f>
        <v>36202</v>
      </c>
      <c r="F112" s="485">
        <f t="shared" ref="F112:F130" si="41">+D112-E112</f>
        <v>1088094</v>
      </c>
      <c r="G112" s="485">
        <f t="shared" ref="G112:G130" si="42">+(F112+D112)/2</f>
        <v>1106195</v>
      </c>
      <c r="H112" s="488">
        <f t="shared" ref="H112:H154" si="43">+J$94*G112+E112</f>
        <v>155462.26105575293</v>
      </c>
      <c r="I112" s="542">
        <f t="shared" ref="I112:I154" si="44">+J$95*G112+E112</f>
        <v>155462.26105575293</v>
      </c>
      <c r="J112" s="478">
        <f t="shared" si="25"/>
        <v>0</v>
      </c>
      <c r="K112" s="478"/>
      <c r="L112" s="487"/>
      <c r="M112" s="478">
        <f t="shared" si="26"/>
        <v>0</v>
      </c>
      <c r="N112" s="487"/>
      <c r="O112" s="478">
        <f t="shared" si="27"/>
        <v>0</v>
      </c>
      <c r="P112" s="478">
        <f t="shared" si="28"/>
        <v>0</v>
      </c>
    </row>
    <row r="113" spans="2:16">
      <c r="B113" s="160" t="str">
        <f t="shared" si="31"/>
        <v/>
      </c>
      <c r="C113" s="472">
        <f>IF(D93="","-",+C112+1)</f>
        <v>2022</v>
      </c>
      <c r="D113" s="346">
        <f>IF(F112+SUM(E$99:E112)=D$92,F112,D$92-SUM(E$99:E112))</f>
        <v>1088094</v>
      </c>
      <c r="E113" s="486">
        <f>IF(+J96&lt;F112,J96,D113)</f>
        <v>36202</v>
      </c>
      <c r="F113" s="485">
        <f t="shared" si="41"/>
        <v>1051892</v>
      </c>
      <c r="G113" s="485">
        <f t="shared" si="42"/>
        <v>1069993</v>
      </c>
      <c r="H113" s="488">
        <f t="shared" si="43"/>
        <v>151559.27833503881</v>
      </c>
      <c r="I113" s="542">
        <f t="shared" si="44"/>
        <v>151559.27833503881</v>
      </c>
      <c r="J113" s="478">
        <f t="shared" si="25"/>
        <v>0</v>
      </c>
      <c r="K113" s="478"/>
      <c r="L113" s="487"/>
      <c r="M113" s="478">
        <f t="shared" si="26"/>
        <v>0</v>
      </c>
      <c r="N113" s="487"/>
      <c r="O113" s="478">
        <f t="shared" si="27"/>
        <v>0</v>
      </c>
      <c r="P113" s="478">
        <f t="shared" si="28"/>
        <v>0</v>
      </c>
    </row>
    <row r="114" spans="2:16">
      <c r="B114" s="160" t="str">
        <f t="shared" si="31"/>
        <v/>
      </c>
      <c r="C114" s="472">
        <f>IF(D93="","-",+C113+1)</f>
        <v>2023</v>
      </c>
      <c r="D114" s="346">
        <f>IF(F113+SUM(E$99:E113)=D$92,F113,D$92-SUM(E$99:E113))</f>
        <v>1051892</v>
      </c>
      <c r="E114" s="486">
        <f>IF(+J96&lt;F113,J96,D114)</f>
        <v>36202</v>
      </c>
      <c r="F114" s="485">
        <f t="shared" si="41"/>
        <v>1015690</v>
      </c>
      <c r="G114" s="485">
        <f t="shared" si="42"/>
        <v>1033791</v>
      </c>
      <c r="H114" s="488">
        <f t="shared" si="43"/>
        <v>147656.29561432468</v>
      </c>
      <c r="I114" s="542">
        <f t="shared" si="44"/>
        <v>147656.29561432468</v>
      </c>
      <c r="J114" s="478">
        <f t="shared" si="25"/>
        <v>0</v>
      </c>
      <c r="K114" s="478"/>
      <c r="L114" s="487"/>
      <c r="M114" s="478">
        <f t="shared" si="26"/>
        <v>0</v>
      </c>
      <c r="N114" s="487"/>
      <c r="O114" s="478">
        <f t="shared" si="27"/>
        <v>0</v>
      </c>
      <c r="P114" s="478">
        <f t="shared" si="28"/>
        <v>0</v>
      </c>
    </row>
    <row r="115" spans="2:16">
      <c r="B115" s="160" t="str">
        <f t="shared" si="31"/>
        <v/>
      </c>
      <c r="C115" s="472">
        <f>IF(D93="","-",+C114+1)</f>
        <v>2024</v>
      </c>
      <c r="D115" s="346">
        <f>IF(F114+SUM(E$99:E114)=D$92,F114,D$92-SUM(E$99:E114))</f>
        <v>1015690</v>
      </c>
      <c r="E115" s="486">
        <f>IF(+J96&lt;F114,J96,D115)</f>
        <v>36202</v>
      </c>
      <c r="F115" s="485">
        <f t="shared" si="41"/>
        <v>979488</v>
      </c>
      <c r="G115" s="485">
        <f t="shared" si="42"/>
        <v>997589</v>
      </c>
      <c r="H115" s="488">
        <f t="shared" si="43"/>
        <v>143753.31289361053</v>
      </c>
      <c r="I115" s="542">
        <f t="shared" si="44"/>
        <v>143753.31289361053</v>
      </c>
      <c r="J115" s="478">
        <f t="shared" si="25"/>
        <v>0</v>
      </c>
      <c r="K115" s="478"/>
      <c r="L115" s="487"/>
      <c r="M115" s="478">
        <f t="shared" si="26"/>
        <v>0</v>
      </c>
      <c r="N115" s="487"/>
      <c r="O115" s="478">
        <f t="shared" si="27"/>
        <v>0</v>
      </c>
      <c r="P115" s="478">
        <f t="shared" si="28"/>
        <v>0</v>
      </c>
    </row>
    <row r="116" spans="2:16">
      <c r="B116" s="160" t="str">
        <f t="shared" si="31"/>
        <v/>
      </c>
      <c r="C116" s="472">
        <f>IF(D93="","-",+C115+1)</f>
        <v>2025</v>
      </c>
      <c r="D116" s="346">
        <f>IF(F115+SUM(E$99:E115)=D$92,F115,D$92-SUM(E$99:E115))</f>
        <v>979488</v>
      </c>
      <c r="E116" s="486">
        <f>IF(+J96&lt;F115,J96,D116)</f>
        <v>36202</v>
      </c>
      <c r="F116" s="485">
        <f t="shared" si="41"/>
        <v>943286</v>
      </c>
      <c r="G116" s="485">
        <f t="shared" si="42"/>
        <v>961387</v>
      </c>
      <c r="H116" s="488">
        <f t="shared" si="43"/>
        <v>139850.33017289639</v>
      </c>
      <c r="I116" s="542">
        <f t="shared" si="44"/>
        <v>139850.33017289639</v>
      </c>
      <c r="J116" s="478">
        <f t="shared" si="25"/>
        <v>0</v>
      </c>
      <c r="K116" s="478"/>
      <c r="L116" s="487"/>
      <c r="M116" s="478">
        <f t="shared" si="26"/>
        <v>0</v>
      </c>
      <c r="N116" s="487"/>
      <c r="O116" s="478">
        <f t="shared" si="27"/>
        <v>0</v>
      </c>
      <c r="P116" s="478">
        <f t="shared" si="28"/>
        <v>0</v>
      </c>
    </row>
    <row r="117" spans="2:16">
      <c r="B117" s="160" t="str">
        <f t="shared" si="31"/>
        <v/>
      </c>
      <c r="C117" s="472">
        <f>IF(D93="","-",+C116+1)</f>
        <v>2026</v>
      </c>
      <c r="D117" s="346">
        <f>IF(F116+SUM(E$99:E116)=D$92,F116,D$92-SUM(E$99:E116))</f>
        <v>943286</v>
      </c>
      <c r="E117" s="486">
        <f>IF(+J96&lt;F116,J96,D117)</f>
        <v>36202</v>
      </c>
      <c r="F117" s="485">
        <f t="shared" si="41"/>
        <v>907084</v>
      </c>
      <c r="G117" s="485">
        <f t="shared" si="42"/>
        <v>925185</v>
      </c>
      <c r="H117" s="488">
        <f t="shared" si="43"/>
        <v>135947.34745218226</v>
      </c>
      <c r="I117" s="542">
        <f t="shared" si="44"/>
        <v>135947.34745218226</v>
      </c>
      <c r="J117" s="478">
        <f t="shared" si="25"/>
        <v>0</v>
      </c>
      <c r="K117" s="478"/>
      <c r="L117" s="487"/>
      <c r="M117" s="478">
        <f t="shared" si="26"/>
        <v>0</v>
      </c>
      <c r="N117" s="487"/>
      <c r="O117" s="478">
        <f t="shared" si="27"/>
        <v>0</v>
      </c>
      <c r="P117" s="478">
        <f t="shared" si="28"/>
        <v>0</v>
      </c>
    </row>
    <row r="118" spans="2:16">
      <c r="B118" s="160" t="str">
        <f t="shared" si="31"/>
        <v/>
      </c>
      <c r="C118" s="472">
        <f>IF(D93="","-",+C117+1)</f>
        <v>2027</v>
      </c>
      <c r="D118" s="346">
        <f>IF(F117+SUM(E$99:E117)=D$92,F117,D$92-SUM(E$99:E117))</f>
        <v>907084</v>
      </c>
      <c r="E118" s="486">
        <f>IF(+J96&lt;F117,J96,D118)</f>
        <v>36202</v>
      </c>
      <c r="F118" s="485">
        <f t="shared" si="41"/>
        <v>870882</v>
      </c>
      <c r="G118" s="485">
        <f t="shared" si="42"/>
        <v>888983</v>
      </c>
      <c r="H118" s="488">
        <f t="shared" si="43"/>
        <v>132044.36473146814</v>
      </c>
      <c r="I118" s="542">
        <f t="shared" si="44"/>
        <v>132044.36473146814</v>
      </c>
      <c r="J118" s="478">
        <f t="shared" si="25"/>
        <v>0</v>
      </c>
      <c r="K118" s="478"/>
      <c r="L118" s="487"/>
      <c r="M118" s="478">
        <f t="shared" si="26"/>
        <v>0</v>
      </c>
      <c r="N118" s="487"/>
      <c r="O118" s="478">
        <f t="shared" si="27"/>
        <v>0</v>
      </c>
      <c r="P118" s="478">
        <f t="shared" si="28"/>
        <v>0</v>
      </c>
    </row>
    <row r="119" spans="2:16">
      <c r="B119" s="160" t="str">
        <f t="shared" si="31"/>
        <v/>
      </c>
      <c r="C119" s="472">
        <f>IF(D93="","-",+C118+1)</f>
        <v>2028</v>
      </c>
      <c r="D119" s="346">
        <f>IF(F118+SUM(E$99:E118)=D$92,F118,D$92-SUM(E$99:E118))</f>
        <v>870882</v>
      </c>
      <c r="E119" s="486">
        <f>IF(+J96&lt;F118,J96,D119)</f>
        <v>36202</v>
      </c>
      <c r="F119" s="485">
        <f t="shared" si="41"/>
        <v>834680</v>
      </c>
      <c r="G119" s="485">
        <f t="shared" si="42"/>
        <v>852781</v>
      </c>
      <c r="H119" s="488">
        <f t="shared" si="43"/>
        <v>128141.38201075401</v>
      </c>
      <c r="I119" s="542">
        <f t="shared" si="44"/>
        <v>128141.38201075401</v>
      </c>
      <c r="J119" s="478">
        <f t="shared" si="25"/>
        <v>0</v>
      </c>
      <c r="K119" s="478"/>
      <c r="L119" s="487"/>
      <c r="M119" s="478">
        <f t="shared" si="26"/>
        <v>0</v>
      </c>
      <c r="N119" s="487"/>
      <c r="O119" s="478">
        <f t="shared" si="27"/>
        <v>0</v>
      </c>
      <c r="P119" s="478">
        <f t="shared" si="28"/>
        <v>0</v>
      </c>
    </row>
    <row r="120" spans="2:16">
      <c r="B120" s="160" t="str">
        <f t="shared" si="31"/>
        <v/>
      </c>
      <c r="C120" s="472">
        <f>IF(D93="","-",+C119+1)</f>
        <v>2029</v>
      </c>
      <c r="D120" s="346">
        <f>IF(F119+SUM(E$99:E119)=D$92,F119,D$92-SUM(E$99:E119))</f>
        <v>834680</v>
      </c>
      <c r="E120" s="486">
        <f>IF(+J96&lt;F119,J96,D120)</f>
        <v>36202</v>
      </c>
      <c r="F120" s="485">
        <f t="shared" si="41"/>
        <v>798478</v>
      </c>
      <c r="G120" s="485">
        <f t="shared" si="42"/>
        <v>816579</v>
      </c>
      <c r="H120" s="488">
        <f t="shared" si="43"/>
        <v>124238.39929003989</v>
      </c>
      <c r="I120" s="542">
        <f t="shared" si="44"/>
        <v>124238.39929003989</v>
      </c>
      <c r="J120" s="478">
        <f t="shared" si="25"/>
        <v>0</v>
      </c>
      <c r="K120" s="478"/>
      <c r="L120" s="487"/>
      <c r="M120" s="478">
        <f t="shared" si="26"/>
        <v>0</v>
      </c>
      <c r="N120" s="487"/>
      <c r="O120" s="478">
        <f t="shared" si="27"/>
        <v>0</v>
      </c>
      <c r="P120" s="478">
        <f t="shared" si="28"/>
        <v>0</v>
      </c>
    </row>
    <row r="121" spans="2:16">
      <c r="B121" s="160" t="str">
        <f t="shared" si="31"/>
        <v/>
      </c>
      <c r="C121" s="472">
        <f>IF(D93="","-",+C120+1)</f>
        <v>2030</v>
      </c>
      <c r="D121" s="346">
        <f>IF(F120+SUM(E$99:E120)=D$92,F120,D$92-SUM(E$99:E120))</f>
        <v>798478</v>
      </c>
      <c r="E121" s="486">
        <f>IF(+J96&lt;F120,J96,D121)</f>
        <v>36202</v>
      </c>
      <c r="F121" s="485">
        <f t="shared" si="41"/>
        <v>762276</v>
      </c>
      <c r="G121" s="485">
        <f t="shared" si="42"/>
        <v>780377</v>
      </c>
      <c r="H121" s="488">
        <f t="shared" si="43"/>
        <v>120335.41656932575</v>
      </c>
      <c r="I121" s="542">
        <f t="shared" si="44"/>
        <v>120335.41656932575</v>
      </c>
      <c r="J121" s="478">
        <f t="shared" si="25"/>
        <v>0</v>
      </c>
      <c r="K121" s="478"/>
      <c r="L121" s="487"/>
      <c r="M121" s="478">
        <f t="shared" si="26"/>
        <v>0</v>
      </c>
      <c r="N121" s="487"/>
      <c r="O121" s="478">
        <f t="shared" si="27"/>
        <v>0</v>
      </c>
      <c r="P121" s="478">
        <f t="shared" si="28"/>
        <v>0</v>
      </c>
    </row>
    <row r="122" spans="2:16">
      <c r="B122" s="160" t="str">
        <f t="shared" si="31"/>
        <v/>
      </c>
      <c r="C122" s="472">
        <f>IF(D93="","-",+C121+1)</f>
        <v>2031</v>
      </c>
      <c r="D122" s="346">
        <f>IF(F121+SUM(E$99:E121)=D$92,F121,D$92-SUM(E$99:E121))</f>
        <v>762276</v>
      </c>
      <c r="E122" s="486">
        <f>IF(+J96&lt;F121,J96,D122)</f>
        <v>36202</v>
      </c>
      <c r="F122" s="485">
        <f t="shared" si="41"/>
        <v>726074</v>
      </c>
      <c r="G122" s="485">
        <f t="shared" si="42"/>
        <v>744175</v>
      </c>
      <c r="H122" s="488">
        <f t="shared" si="43"/>
        <v>116432.43384861162</v>
      </c>
      <c r="I122" s="542">
        <f t="shared" si="44"/>
        <v>116432.43384861162</v>
      </c>
      <c r="J122" s="478">
        <f t="shared" si="25"/>
        <v>0</v>
      </c>
      <c r="K122" s="478"/>
      <c r="L122" s="487"/>
      <c r="M122" s="478">
        <f t="shared" si="26"/>
        <v>0</v>
      </c>
      <c r="N122" s="487"/>
      <c r="O122" s="478">
        <f t="shared" si="27"/>
        <v>0</v>
      </c>
      <c r="P122" s="478">
        <f t="shared" si="28"/>
        <v>0</v>
      </c>
    </row>
    <row r="123" spans="2:16">
      <c r="B123" s="160" t="str">
        <f t="shared" si="31"/>
        <v/>
      </c>
      <c r="C123" s="472">
        <f>IF(D93="","-",+C122+1)</f>
        <v>2032</v>
      </c>
      <c r="D123" s="346">
        <f>IF(F122+SUM(E$99:E122)=D$92,F122,D$92-SUM(E$99:E122))</f>
        <v>726074</v>
      </c>
      <c r="E123" s="486">
        <f>IF(+J96&lt;F122,J96,D123)</f>
        <v>36202</v>
      </c>
      <c r="F123" s="485">
        <f t="shared" si="41"/>
        <v>689872</v>
      </c>
      <c r="G123" s="485">
        <f t="shared" si="42"/>
        <v>707973</v>
      </c>
      <c r="H123" s="488">
        <f t="shared" si="43"/>
        <v>112529.4511278975</v>
      </c>
      <c r="I123" s="542">
        <f t="shared" si="44"/>
        <v>112529.4511278975</v>
      </c>
      <c r="J123" s="478">
        <f t="shared" si="25"/>
        <v>0</v>
      </c>
      <c r="K123" s="478"/>
      <c r="L123" s="487"/>
      <c r="M123" s="478">
        <f t="shared" si="26"/>
        <v>0</v>
      </c>
      <c r="N123" s="487"/>
      <c r="O123" s="478">
        <f t="shared" si="27"/>
        <v>0</v>
      </c>
      <c r="P123" s="478">
        <f t="shared" si="28"/>
        <v>0</v>
      </c>
    </row>
    <row r="124" spans="2:16">
      <c r="B124" s="160" t="str">
        <f t="shared" si="31"/>
        <v/>
      </c>
      <c r="C124" s="472">
        <f>IF(D93="","-",+C123+1)</f>
        <v>2033</v>
      </c>
      <c r="D124" s="346">
        <f>IF(F123+SUM(E$99:E123)=D$92,F123,D$92-SUM(E$99:E123))</f>
        <v>689872</v>
      </c>
      <c r="E124" s="486">
        <f>IF(+J96&lt;F123,J96,D124)</f>
        <v>36202</v>
      </c>
      <c r="F124" s="485">
        <f t="shared" si="41"/>
        <v>653670</v>
      </c>
      <c r="G124" s="485">
        <f t="shared" si="42"/>
        <v>671771</v>
      </c>
      <c r="H124" s="488">
        <f t="shared" si="43"/>
        <v>108626.46840718336</v>
      </c>
      <c r="I124" s="542">
        <f t="shared" si="44"/>
        <v>108626.46840718336</v>
      </c>
      <c r="J124" s="478">
        <f t="shared" si="25"/>
        <v>0</v>
      </c>
      <c r="K124" s="478"/>
      <c r="L124" s="487"/>
      <c r="M124" s="478">
        <f t="shared" si="26"/>
        <v>0</v>
      </c>
      <c r="N124" s="487"/>
      <c r="O124" s="478">
        <f t="shared" si="27"/>
        <v>0</v>
      </c>
      <c r="P124" s="478">
        <f t="shared" si="28"/>
        <v>0</v>
      </c>
    </row>
    <row r="125" spans="2:16">
      <c r="B125" s="160" t="str">
        <f t="shared" si="31"/>
        <v/>
      </c>
      <c r="C125" s="472">
        <f>IF(D93="","-",+C124+1)</f>
        <v>2034</v>
      </c>
      <c r="D125" s="346">
        <f>IF(F124+SUM(E$99:E124)=D$92,F124,D$92-SUM(E$99:E124))</f>
        <v>653670</v>
      </c>
      <c r="E125" s="486">
        <f>IF(+J96&lt;F124,J96,D125)</f>
        <v>36202</v>
      </c>
      <c r="F125" s="485">
        <f t="shared" si="41"/>
        <v>617468</v>
      </c>
      <c r="G125" s="485">
        <f t="shared" si="42"/>
        <v>635569</v>
      </c>
      <c r="H125" s="488">
        <f t="shared" si="43"/>
        <v>104723.48568646923</v>
      </c>
      <c r="I125" s="542">
        <f t="shared" si="44"/>
        <v>104723.48568646923</v>
      </c>
      <c r="J125" s="478">
        <f t="shared" si="25"/>
        <v>0</v>
      </c>
      <c r="K125" s="478"/>
      <c r="L125" s="487"/>
      <c r="M125" s="478">
        <f t="shared" si="26"/>
        <v>0</v>
      </c>
      <c r="N125" s="487"/>
      <c r="O125" s="478">
        <f t="shared" si="27"/>
        <v>0</v>
      </c>
      <c r="P125" s="478">
        <f t="shared" si="28"/>
        <v>0</v>
      </c>
    </row>
    <row r="126" spans="2:16">
      <c r="B126" s="160" t="str">
        <f t="shared" si="31"/>
        <v/>
      </c>
      <c r="C126" s="472">
        <f>IF(D93="","-",+C125+1)</f>
        <v>2035</v>
      </c>
      <c r="D126" s="346">
        <f>IF(F125+SUM(E$99:E125)=D$92,F125,D$92-SUM(E$99:E125))</f>
        <v>617468</v>
      </c>
      <c r="E126" s="486">
        <f>IF(+J96&lt;F125,J96,D126)</f>
        <v>36202</v>
      </c>
      <c r="F126" s="485">
        <f t="shared" si="41"/>
        <v>581266</v>
      </c>
      <c r="G126" s="485">
        <f t="shared" si="42"/>
        <v>599367</v>
      </c>
      <c r="H126" s="488">
        <f t="shared" si="43"/>
        <v>100820.50296575509</v>
      </c>
      <c r="I126" s="542">
        <f t="shared" si="44"/>
        <v>100820.50296575509</v>
      </c>
      <c r="J126" s="478">
        <f t="shared" si="25"/>
        <v>0</v>
      </c>
      <c r="K126" s="478"/>
      <c r="L126" s="487"/>
      <c r="M126" s="478">
        <f t="shared" si="26"/>
        <v>0</v>
      </c>
      <c r="N126" s="487"/>
      <c r="O126" s="478">
        <f t="shared" si="27"/>
        <v>0</v>
      </c>
      <c r="P126" s="478">
        <f t="shared" si="28"/>
        <v>0</v>
      </c>
    </row>
    <row r="127" spans="2:16">
      <c r="B127" s="160" t="str">
        <f t="shared" si="31"/>
        <v/>
      </c>
      <c r="C127" s="472">
        <f>IF(D93="","-",+C126+1)</f>
        <v>2036</v>
      </c>
      <c r="D127" s="346">
        <f>IF(F126+SUM(E$99:E126)=D$92,F126,D$92-SUM(E$99:E126))</f>
        <v>581266</v>
      </c>
      <c r="E127" s="486">
        <f>IF(+J96&lt;F126,J96,D127)</f>
        <v>36202</v>
      </c>
      <c r="F127" s="485">
        <f t="shared" si="41"/>
        <v>545064</v>
      </c>
      <c r="G127" s="485">
        <f t="shared" si="42"/>
        <v>563165</v>
      </c>
      <c r="H127" s="488">
        <f t="shared" si="43"/>
        <v>96917.520245040971</v>
      </c>
      <c r="I127" s="542">
        <f t="shared" si="44"/>
        <v>96917.520245040971</v>
      </c>
      <c r="J127" s="478">
        <f t="shared" si="25"/>
        <v>0</v>
      </c>
      <c r="K127" s="478"/>
      <c r="L127" s="487"/>
      <c r="M127" s="478">
        <f t="shared" si="26"/>
        <v>0</v>
      </c>
      <c r="N127" s="487"/>
      <c r="O127" s="478">
        <f t="shared" si="27"/>
        <v>0</v>
      </c>
      <c r="P127" s="478">
        <f t="shared" si="28"/>
        <v>0</v>
      </c>
    </row>
    <row r="128" spans="2:16">
      <c r="B128" s="160" t="str">
        <f t="shared" si="31"/>
        <v/>
      </c>
      <c r="C128" s="472">
        <f>IF(D93="","-",+C127+1)</f>
        <v>2037</v>
      </c>
      <c r="D128" s="346">
        <f>IF(F127+SUM(E$99:E127)=D$92,F127,D$92-SUM(E$99:E127))</f>
        <v>545064</v>
      </c>
      <c r="E128" s="486">
        <f>IF(+J96&lt;F127,J96,D128)</f>
        <v>36202</v>
      </c>
      <c r="F128" s="485">
        <f t="shared" si="41"/>
        <v>508862</v>
      </c>
      <c r="G128" s="485">
        <f t="shared" si="42"/>
        <v>526963</v>
      </c>
      <c r="H128" s="488">
        <f t="shared" si="43"/>
        <v>93014.53752432685</v>
      </c>
      <c r="I128" s="542">
        <f t="shared" si="44"/>
        <v>93014.53752432685</v>
      </c>
      <c r="J128" s="478">
        <f t="shared" si="25"/>
        <v>0</v>
      </c>
      <c r="K128" s="478"/>
      <c r="L128" s="487"/>
      <c r="M128" s="478">
        <f t="shared" si="26"/>
        <v>0</v>
      </c>
      <c r="N128" s="487"/>
      <c r="O128" s="478">
        <f t="shared" si="27"/>
        <v>0</v>
      </c>
      <c r="P128" s="478">
        <f t="shared" si="28"/>
        <v>0</v>
      </c>
    </row>
    <row r="129" spans="2:16">
      <c r="B129" s="160" t="str">
        <f t="shared" si="31"/>
        <v/>
      </c>
      <c r="C129" s="472">
        <f>IF(D93="","-",+C128+1)</f>
        <v>2038</v>
      </c>
      <c r="D129" s="346">
        <f>IF(F128+SUM(E$99:E128)=D$92,F128,D$92-SUM(E$99:E128))</f>
        <v>508862</v>
      </c>
      <c r="E129" s="486">
        <f>IF(+J96&lt;F128,J96,D129)</f>
        <v>36202</v>
      </c>
      <c r="F129" s="485">
        <f t="shared" si="41"/>
        <v>472660</v>
      </c>
      <c r="G129" s="485">
        <f t="shared" si="42"/>
        <v>490761</v>
      </c>
      <c r="H129" s="488">
        <f t="shared" si="43"/>
        <v>89111.5548036127</v>
      </c>
      <c r="I129" s="542">
        <f t="shared" si="44"/>
        <v>89111.5548036127</v>
      </c>
      <c r="J129" s="478">
        <f t="shared" si="25"/>
        <v>0</v>
      </c>
      <c r="K129" s="478"/>
      <c r="L129" s="487"/>
      <c r="M129" s="478">
        <f t="shared" si="26"/>
        <v>0</v>
      </c>
      <c r="N129" s="487"/>
      <c r="O129" s="478">
        <f t="shared" si="27"/>
        <v>0</v>
      </c>
      <c r="P129" s="478">
        <f t="shared" si="28"/>
        <v>0</v>
      </c>
    </row>
    <row r="130" spans="2:16">
      <c r="B130" s="160" t="str">
        <f t="shared" si="31"/>
        <v/>
      </c>
      <c r="C130" s="472">
        <f>IF(D93="","-",+C129+1)</f>
        <v>2039</v>
      </c>
      <c r="D130" s="346">
        <f>IF(F129+SUM(E$99:E129)=D$92,F129,D$92-SUM(E$99:E129))</f>
        <v>472660</v>
      </c>
      <c r="E130" s="486">
        <f>IF(+J96&lt;F129,J96,D130)</f>
        <v>36202</v>
      </c>
      <c r="F130" s="485">
        <f t="shared" si="41"/>
        <v>436458</v>
      </c>
      <c r="G130" s="485">
        <f t="shared" si="42"/>
        <v>454559</v>
      </c>
      <c r="H130" s="488">
        <f t="shared" si="43"/>
        <v>85208.57208289858</v>
      </c>
      <c r="I130" s="542">
        <f t="shared" si="44"/>
        <v>85208.57208289858</v>
      </c>
      <c r="J130" s="478">
        <f t="shared" si="25"/>
        <v>0</v>
      </c>
      <c r="K130" s="478"/>
      <c r="L130" s="487"/>
      <c r="M130" s="478">
        <f t="shared" si="26"/>
        <v>0</v>
      </c>
      <c r="N130" s="487"/>
      <c r="O130" s="478">
        <f t="shared" si="27"/>
        <v>0</v>
      </c>
      <c r="P130" s="478">
        <f t="shared" si="28"/>
        <v>0</v>
      </c>
    </row>
    <row r="131" spans="2:16">
      <c r="B131" s="160" t="str">
        <f t="shared" si="31"/>
        <v/>
      </c>
      <c r="C131" s="472">
        <f>IF(D93="","-",+C130+1)</f>
        <v>2040</v>
      </c>
      <c r="D131" s="346">
        <f>IF(F130+SUM(E$99:E130)=D$92,F130,D$92-SUM(E$99:E130))</f>
        <v>436458</v>
      </c>
      <c r="E131" s="486">
        <f>IF(+J96&lt;F130,J96,D131)</f>
        <v>36202</v>
      </c>
      <c r="F131" s="485">
        <f t="shared" ref="F131:F154" si="45">+D131-E131</f>
        <v>400256</v>
      </c>
      <c r="G131" s="485">
        <f t="shared" ref="G131:G154" si="46">+(F131+D131)/2</f>
        <v>418357</v>
      </c>
      <c r="H131" s="488">
        <f t="shared" si="43"/>
        <v>81305.589362184459</v>
      </c>
      <c r="I131" s="542">
        <f t="shared" si="44"/>
        <v>81305.589362184459</v>
      </c>
      <c r="J131" s="478">
        <f t="shared" ref="J131:J154" si="47">+I131-H131</f>
        <v>0</v>
      </c>
      <c r="K131" s="478"/>
      <c r="L131" s="487"/>
      <c r="M131" s="478">
        <f t="shared" ref="M131:M154" si="48">IF(L131&lt;&gt;0,+H131-L131,0)</f>
        <v>0</v>
      </c>
      <c r="N131" s="487"/>
      <c r="O131" s="478">
        <f t="shared" ref="O131:O154" si="49">IF(N131&lt;&gt;0,+I131-N131,0)</f>
        <v>0</v>
      </c>
      <c r="P131" s="478">
        <f t="shared" ref="P131:P154" si="50">+O131-M131</f>
        <v>0</v>
      </c>
    </row>
    <row r="132" spans="2:16">
      <c r="B132" s="160" t="str">
        <f t="shared" si="31"/>
        <v/>
      </c>
      <c r="C132" s="472">
        <f>IF(D93="","-",+C131+1)</f>
        <v>2041</v>
      </c>
      <c r="D132" s="346">
        <f>IF(F131+SUM(E$99:E131)=D$92,F131,D$92-SUM(E$99:E131))</f>
        <v>400256</v>
      </c>
      <c r="E132" s="486">
        <f>IF(+J96&lt;F131,J96,D132)</f>
        <v>36202</v>
      </c>
      <c r="F132" s="485">
        <f t="shared" si="45"/>
        <v>364054</v>
      </c>
      <c r="G132" s="485">
        <f t="shared" si="46"/>
        <v>382155</v>
      </c>
      <c r="H132" s="488">
        <f t="shared" si="43"/>
        <v>77402.606641470309</v>
      </c>
      <c r="I132" s="542">
        <f t="shared" si="44"/>
        <v>77402.606641470309</v>
      </c>
      <c r="J132" s="478">
        <f t="shared" si="47"/>
        <v>0</v>
      </c>
      <c r="K132" s="478"/>
      <c r="L132" s="487"/>
      <c r="M132" s="478">
        <f t="shared" si="48"/>
        <v>0</v>
      </c>
      <c r="N132" s="487"/>
      <c r="O132" s="478">
        <f t="shared" si="49"/>
        <v>0</v>
      </c>
      <c r="P132" s="478">
        <f t="shared" si="50"/>
        <v>0</v>
      </c>
    </row>
    <row r="133" spans="2:16">
      <c r="B133" s="160" t="str">
        <f t="shared" si="31"/>
        <v/>
      </c>
      <c r="C133" s="472">
        <f>IF(D93="","-",+C132+1)</f>
        <v>2042</v>
      </c>
      <c r="D133" s="346">
        <f>IF(F132+SUM(E$99:E132)=D$92,F132,D$92-SUM(E$99:E132))</f>
        <v>364054</v>
      </c>
      <c r="E133" s="486">
        <f>IF(+J96&lt;F132,J96,D133)</f>
        <v>36202</v>
      </c>
      <c r="F133" s="485">
        <f t="shared" si="45"/>
        <v>327852</v>
      </c>
      <c r="G133" s="485">
        <f t="shared" si="46"/>
        <v>345953</v>
      </c>
      <c r="H133" s="488">
        <f t="shared" si="43"/>
        <v>73499.623920756188</v>
      </c>
      <c r="I133" s="542">
        <f t="shared" si="44"/>
        <v>73499.623920756188</v>
      </c>
      <c r="J133" s="478">
        <f t="shared" si="47"/>
        <v>0</v>
      </c>
      <c r="K133" s="478"/>
      <c r="L133" s="487"/>
      <c r="M133" s="478">
        <f t="shared" si="48"/>
        <v>0</v>
      </c>
      <c r="N133" s="487"/>
      <c r="O133" s="478">
        <f t="shared" si="49"/>
        <v>0</v>
      </c>
      <c r="P133" s="478">
        <f t="shared" si="50"/>
        <v>0</v>
      </c>
    </row>
    <row r="134" spans="2:16">
      <c r="B134" s="160" t="str">
        <f t="shared" si="31"/>
        <v/>
      </c>
      <c r="C134" s="472">
        <f>IF(D93="","-",+C133+1)</f>
        <v>2043</v>
      </c>
      <c r="D134" s="346">
        <f>IF(F133+SUM(E$99:E133)=D$92,F133,D$92-SUM(E$99:E133))</f>
        <v>327852</v>
      </c>
      <c r="E134" s="486">
        <f>IF(+J96&lt;F133,J96,D134)</f>
        <v>36202</v>
      </c>
      <c r="F134" s="485">
        <f t="shared" si="45"/>
        <v>291650</v>
      </c>
      <c r="G134" s="485">
        <f t="shared" si="46"/>
        <v>309751</v>
      </c>
      <c r="H134" s="488">
        <f t="shared" si="43"/>
        <v>69596.641200042068</v>
      </c>
      <c r="I134" s="542">
        <f t="shared" si="44"/>
        <v>69596.641200042068</v>
      </c>
      <c r="J134" s="478">
        <f t="shared" si="47"/>
        <v>0</v>
      </c>
      <c r="K134" s="478"/>
      <c r="L134" s="487"/>
      <c r="M134" s="478">
        <f t="shared" si="48"/>
        <v>0</v>
      </c>
      <c r="N134" s="487"/>
      <c r="O134" s="478">
        <f t="shared" si="49"/>
        <v>0</v>
      </c>
      <c r="P134" s="478">
        <f t="shared" si="50"/>
        <v>0</v>
      </c>
    </row>
    <row r="135" spans="2:16">
      <c r="B135" s="160" t="str">
        <f t="shared" si="31"/>
        <v/>
      </c>
      <c r="C135" s="472">
        <f>IF(D93="","-",+C134+1)</f>
        <v>2044</v>
      </c>
      <c r="D135" s="346">
        <f>IF(F134+SUM(E$99:E134)=D$92,F134,D$92-SUM(E$99:E134))</f>
        <v>291650</v>
      </c>
      <c r="E135" s="486">
        <f>IF(+J96&lt;F134,J96,D135)</f>
        <v>36202</v>
      </c>
      <c r="F135" s="485">
        <f t="shared" si="45"/>
        <v>255448</v>
      </c>
      <c r="G135" s="485">
        <f t="shared" si="46"/>
        <v>273549</v>
      </c>
      <c r="H135" s="488">
        <f t="shared" si="43"/>
        <v>65693.658479327933</v>
      </c>
      <c r="I135" s="542">
        <f t="shared" si="44"/>
        <v>65693.658479327933</v>
      </c>
      <c r="J135" s="478">
        <f t="shared" si="47"/>
        <v>0</v>
      </c>
      <c r="K135" s="478"/>
      <c r="L135" s="487"/>
      <c r="M135" s="478">
        <f t="shared" si="48"/>
        <v>0</v>
      </c>
      <c r="N135" s="487"/>
      <c r="O135" s="478">
        <f t="shared" si="49"/>
        <v>0</v>
      </c>
      <c r="P135" s="478">
        <f t="shared" si="50"/>
        <v>0</v>
      </c>
    </row>
    <row r="136" spans="2:16">
      <c r="B136" s="160" t="str">
        <f t="shared" si="31"/>
        <v/>
      </c>
      <c r="C136" s="472">
        <f>IF(D93="","-",+C135+1)</f>
        <v>2045</v>
      </c>
      <c r="D136" s="346">
        <f>IF(F135+SUM(E$99:E135)=D$92,F135,D$92-SUM(E$99:E135))</f>
        <v>255448</v>
      </c>
      <c r="E136" s="486">
        <f>IF(+J96&lt;F135,J96,D136)</f>
        <v>36202</v>
      </c>
      <c r="F136" s="485">
        <f t="shared" si="45"/>
        <v>219246</v>
      </c>
      <c r="G136" s="485">
        <f t="shared" si="46"/>
        <v>237347</v>
      </c>
      <c r="H136" s="488">
        <f t="shared" si="43"/>
        <v>61790.675758613797</v>
      </c>
      <c r="I136" s="542">
        <f t="shared" si="44"/>
        <v>61790.675758613797</v>
      </c>
      <c r="J136" s="478">
        <f t="shared" si="47"/>
        <v>0</v>
      </c>
      <c r="K136" s="478"/>
      <c r="L136" s="487"/>
      <c r="M136" s="478">
        <f t="shared" si="48"/>
        <v>0</v>
      </c>
      <c r="N136" s="487"/>
      <c r="O136" s="478">
        <f t="shared" si="49"/>
        <v>0</v>
      </c>
      <c r="P136" s="478">
        <f t="shared" si="50"/>
        <v>0</v>
      </c>
    </row>
    <row r="137" spans="2:16">
      <c r="B137" s="160" t="str">
        <f t="shared" si="31"/>
        <v/>
      </c>
      <c r="C137" s="472">
        <f>IF(D93="","-",+C136+1)</f>
        <v>2046</v>
      </c>
      <c r="D137" s="346">
        <f>IF(F136+SUM(E$99:E136)=D$92,F136,D$92-SUM(E$99:E136))</f>
        <v>219246</v>
      </c>
      <c r="E137" s="486">
        <f>IF(+J96&lt;F136,J96,D137)</f>
        <v>36202</v>
      </c>
      <c r="F137" s="485">
        <f t="shared" si="45"/>
        <v>183044</v>
      </c>
      <c r="G137" s="485">
        <f t="shared" si="46"/>
        <v>201145</v>
      </c>
      <c r="H137" s="488">
        <f t="shared" si="43"/>
        <v>57887.693037899662</v>
      </c>
      <c r="I137" s="542">
        <f t="shared" si="44"/>
        <v>57887.693037899662</v>
      </c>
      <c r="J137" s="478">
        <f t="shared" si="47"/>
        <v>0</v>
      </c>
      <c r="K137" s="478"/>
      <c r="L137" s="487"/>
      <c r="M137" s="478">
        <f t="shared" si="48"/>
        <v>0</v>
      </c>
      <c r="N137" s="487"/>
      <c r="O137" s="478">
        <f t="shared" si="49"/>
        <v>0</v>
      </c>
      <c r="P137" s="478">
        <f t="shared" si="50"/>
        <v>0</v>
      </c>
    </row>
    <row r="138" spans="2:16">
      <c r="B138" s="160" t="str">
        <f t="shared" si="31"/>
        <v/>
      </c>
      <c r="C138" s="472">
        <f>IF(D93="","-",+C137+1)</f>
        <v>2047</v>
      </c>
      <c r="D138" s="346">
        <f>IF(F137+SUM(E$99:E137)=D$92,F137,D$92-SUM(E$99:E137))</f>
        <v>183044</v>
      </c>
      <c r="E138" s="486">
        <f>IF(+J96&lt;F137,J96,D138)</f>
        <v>36202</v>
      </c>
      <c r="F138" s="485">
        <f t="shared" si="45"/>
        <v>146842</v>
      </c>
      <c r="G138" s="485">
        <f t="shared" si="46"/>
        <v>164943</v>
      </c>
      <c r="H138" s="488">
        <f t="shared" si="43"/>
        <v>53984.710317185541</v>
      </c>
      <c r="I138" s="542">
        <f t="shared" si="44"/>
        <v>53984.710317185541</v>
      </c>
      <c r="J138" s="478">
        <f t="shared" si="47"/>
        <v>0</v>
      </c>
      <c r="K138" s="478"/>
      <c r="L138" s="487"/>
      <c r="M138" s="478">
        <f t="shared" si="48"/>
        <v>0</v>
      </c>
      <c r="N138" s="487"/>
      <c r="O138" s="478">
        <f t="shared" si="49"/>
        <v>0</v>
      </c>
      <c r="P138" s="478">
        <f t="shared" si="50"/>
        <v>0</v>
      </c>
    </row>
    <row r="139" spans="2:16">
      <c r="B139" s="160" t="str">
        <f t="shared" si="31"/>
        <v/>
      </c>
      <c r="C139" s="472">
        <f>IF(D93="","-",+C138+1)</f>
        <v>2048</v>
      </c>
      <c r="D139" s="346">
        <f>IF(F138+SUM(E$99:E138)=D$92,F138,D$92-SUM(E$99:E138))</f>
        <v>146842</v>
      </c>
      <c r="E139" s="486">
        <f>IF(+J96&lt;F138,J96,D139)</f>
        <v>36202</v>
      </c>
      <c r="F139" s="485">
        <f t="shared" si="45"/>
        <v>110640</v>
      </c>
      <c r="G139" s="485">
        <f t="shared" si="46"/>
        <v>128741</v>
      </c>
      <c r="H139" s="488">
        <f t="shared" si="43"/>
        <v>50081.727596471406</v>
      </c>
      <c r="I139" s="542">
        <f t="shared" si="44"/>
        <v>50081.727596471406</v>
      </c>
      <c r="J139" s="478">
        <f t="shared" si="47"/>
        <v>0</v>
      </c>
      <c r="K139" s="478"/>
      <c r="L139" s="487"/>
      <c r="M139" s="478">
        <f t="shared" si="48"/>
        <v>0</v>
      </c>
      <c r="N139" s="487"/>
      <c r="O139" s="478">
        <f t="shared" si="49"/>
        <v>0</v>
      </c>
      <c r="P139" s="478">
        <f t="shared" si="50"/>
        <v>0</v>
      </c>
    </row>
    <row r="140" spans="2:16">
      <c r="B140" s="160" t="str">
        <f t="shared" si="31"/>
        <v/>
      </c>
      <c r="C140" s="472">
        <f>IF(D93="","-",+C139+1)</f>
        <v>2049</v>
      </c>
      <c r="D140" s="346">
        <f>IF(F139+SUM(E$99:E139)=D$92,F139,D$92-SUM(E$99:E139))</f>
        <v>110640</v>
      </c>
      <c r="E140" s="486">
        <f>IF(+J96&lt;F139,J96,D140)</f>
        <v>36202</v>
      </c>
      <c r="F140" s="485">
        <f t="shared" si="45"/>
        <v>74438</v>
      </c>
      <c r="G140" s="485">
        <f t="shared" si="46"/>
        <v>92539</v>
      </c>
      <c r="H140" s="488">
        <f t="shared" si="43"/>
        <v>46178.744875757278</v>
      </c>
      <c r="I140" s="542">
        <f t="shared" si="44"/>
        <v>46178.744875757278</v>
      </c>
      <c r="J140" s="478">
        <f t="shared" si="47"/>
        <v>0</v>
      </c>
      <c r="K140" s="478"/>
      <c r="L140" s="487"/>
      <c r="M140" s="478">
        <f t="shared" si="48"/>
        <v>0</v>
      </c>
      <c r="N140" s="487"/>
      <c r="O140" s="478">
        <f t="shared" si="49"/>
        <v>0</v>
      </c>
      <c r="P140" s="478">
        <f t="shared" si="50"/>
        <v>0</v>
      </c>
    </row>
    <row r="141" spans="2:16">
      <c r="B141" s="160" t="str">
        <f t="shared" si="31"/>
        <v/>
      </c>
      <c r="C141" s="472">
        <f>IF(D93="","-",+C140+1)</f>
        <v>2050</v>
      </c>
      <c r="D141" s="346">
        <f>IF(F140+SUM(E$99:E140)=D$92,F140,D$92-SUM(E$99:E140))</f>
        <v>74438</v>
      </c>
      <c r="E141" s="486">
        <f>IF(+J96&lt;F140,J96,D141)</f>
        <v>36202</v>
      </c>
      <c r="F141" s="485">
        <f t="shared" si="45"/>
        <v>38236</v>
      </c>
      <c r="G141" s="485">
        <f t="shared" si="46"/>
        <v>56337</v>
      </c>
      <c r="H141" s="488">
        <f t="shared" si="43"/>
        <v>42275.762155043143</v>
      </c>
      <c r="I141" s="542">
        <f t="shared" si="44"/>
        <v>42275.762155043143</v>
      </c>
      <c r="J141" s="478">
        <f t="shared" si="47"/>
        <v>0</v>
      </c>
      <c r="K141" s="478"/>
      <c r="L141" s="487"/>
      <c r="M141" s="478">
        <f t="shared" si="48"/>
        <v>0</v>
      </c>
      <c r="N141" s="487"/>
      <c r="O141" s="478">
        <f t="shared" si="49"/>
        <v>0</v>
      </c>
      <c r="P141" s="478">
        <f t="shared" si="50"/>
        <v>0</v>
      </c>
    </row>
    <row r="142" spans="2:16">
      <c r="B142" s="160" t="str">
        <f t="shared" si="31"/>
        <v/>
      </c>
      <c r="C142" s="472">
        <f>IF(D93="","-",+C141+1)</f>
        <v>2051</v>
      </c>
      <c r="D142" s="346">
        <f>IF(F141+SUM(E$99:E141)=D$92,F141,D$92-SUM(E$99:E141))</f>
        <v>38236</v>
      </c>
      <c r="E142" s="486">
        <f>IF(+J96&lt;F141,J96,D142)</f>
        <v>36202</v>
      </c>
      <c r="F142" s="485">
        <f t="shared" si="45"/>
        <v>2034</v>
      </c>
      <c r="G142" s="485">
        <f t="shared" si="46"/>
        <v>20135</v>
      </c>
      <c r="H142" s="488">
        <f t="shared" si="43"/>
        <v>38372.779434329015</v>
      </c>
      <c r="I142" s="542">
        <f t="shared" si="44"/>
        <v>38372.779434329015</v>
      </c>
      <c r="J142" s="478">
        <f t="shared" si="47"/>
        <v>0</v>
      </c>
      <c r="K142" s="478"/>
      <c r="L142" s="487"/>
      <c r="M142" s="478">
        <f t="shared" si="48"/>
        <v>0</v>
      </c>
      <c r="N142" s="487"/>
      <c r="O142" s="478">
        <f t="shared" si="49"/>
        <v>0</v>
      </c>
      <c r="P142" s="478">
        <f t="shared" si="50"/>
        <v>0</v>
      </c>
    </row>
    <row r="143" spans="2:16">
      <c r="B143" s="160" t="str">
        <f t="shared" si="31"/>
        <v/>
      </c>
      <c r="C143" s="472">
        <f>IF(D93="","-",+C142+1)</f>
        <v>2052</v>
      </c>
      <c r="D143" s="346">
        <f>IF(F142+SUM(E$99:E142)=D$92,F142,D$92-SUM(E$99:E142))</f>
        <v>2034</v>
      </c>
      <c r="E143" s="486">
        <f>IF(+J96&lt;F142,J96,D143)</f>
        <v>2034</v>
      </c>
      <c r="F143" s="485">
        <f t="shared" si="45"/>
        <v>0</v>
      </c>
      <c r="G143" s="485">
        <f t="shared" si="46"/>
        <v>1017</v>
      </c>
      <c r="H143" s="488">
        <f t="shared" si="43"/>
        <v>2143.6440369859752</v>
      </c>
      <c r="I143" s="542">
        <f t="shared" si="44"/>
        <v>2143.6440369859752</v>
      </c>
      <c r="J143" s="478">
        <f t="shared" si="47"/>
        <v>0</v>
      </c>
      <c r="K143" s="478"/>
      <c r="L143" s="487"/>
      <c r="M143" s="478">
        <f t="shared" si="48"/>
        <v>0</v>
      </c>
      <c r="N143" s="487"/>
      <c r="O143" s="478">
        <f t="shared" si="49"/>
        <v>0</v>
      </c>
      <c r="P143" s="478">
        <f t="shared" si="50"/>
        <v>0</v>
      </c>
    </row>
    <row r="144" spans="2:16">
      <c r="B144" s="160" t="str">
        <f t="shared" si="31"/>
        <v/>
      </c>
      <c r="C144" s="472">
        <f>IF(D93="","-",+C143+1)</f>
        <v>2053</v>
      </c>
      <c r="D144" s="346">
        <f>IF(F143+SUM(E$99:E143)=D$92,F143,D$92-SUM(E$99:E143))</f>
        <v>0</v>
      </c>
      <c r="E144" s="486">
        <f>IF(+J96&lt;F143,J96,D144)</f>
        <v>0</v>
      </c>
      <c r="F144" s="485">
        <f t="shared" si="45"/>
        <v>0</v>
      </c>
      <c r="G144" s="485">
        <f t="shared" si="46"/>
        <v>0</v>
      </c>
      <c r="H144" s="488">
        <f t="shared" si="43"/>
        <v>0</v>
      </c>
      <c r="I144" s="542">
        <f t="shared" si="44"/>
        <v>0</v>
      </c>
      <c r="J144" s="478">
        <f t="shared" si="47"/>
        <v>0</v>
      </c>
      <c r="K144" s="478"/>
      <c r="L144" s="487"/>
      <c r="M144" s="478">
        <f t="shared" si="48"/>
        <v>0</v>
      </c>
      <c r="N144" s="487"/>
      <c r="O144" s="478">
        <f t="shared" si="49"/>
        <v>0</v>
      </c>
      <c r="P144" s="478">
        <f t="shared" si="50"/>
        <v>0</v>
      </c>
    </row>
    <row r="145" spans="2:16">
      <c r="B145" s="160" t="str">
        <f t="shared" si="31"/>
        <v/>
      </c>
      <c r="C145" s="472">
        <f>IF(D93="","-",+C144+1)</f>
        <v>2054</v>
      </c>
      <c r="D145" s="346">
        <f>IF(F144+SUM(E$99:E144)=D$92,F144,D$92-SUM(E$99:E144))</f>
        <v>0</v>
      </c>
      <c r="E145" s="486">
        <f>IF(+J96&lt;F144,J96,D145)</f>
        <v>0</v>
      </c>
      <c r="F145" s="485">
        <f t="shared" si="45"/>
        <v>0</v>
      </c>
      <c r="G145" s="485">
        <f t="shared" si="46"/>
        <v>0</v>
      </c>
      <c r="H145" s="488">
        <f t="shared" si="43"/>
        <v>0</v>
      </c>
      <c r="I145" s="542">
        <f t="shared" si="44"/>
        <v>0</v>
      </c>
      <c r="J145" s="478">
        <f t="shared" si="47"/>
        <v>0</v>
      </c>
      <c r="K145" s="478"/>
      <c r="L145" s="487"/>
      <c r="M145" s="478">
        <f t="shared" si="48"/>
        <v>0</v>
      </c>
      <c r="N145" s="487"/>
      <c r="O145" s="478">
        <f t="shared" si="49"/>
        <v>0</v>
      </c>
      <c r="P145" s="478">
        <f t="shared" si="50"/>
        <v>0</v>
      </c>
    </row>
    <row r="146" spans="2:16">
      <c r="B146" s="160" t="str">
        <f t="shared" si="31"/>
        <v/>
      </c>
      <c r="C146" s="472">
        <f>IF(D93="","-",+C145+1)</f>
        <v>2055</v>
      </c>
      <c r="D146" s="346">
        <f>IF(F145+SUM(E$99:E145)=D$92,F145,D$92-SUM(E$99:E145))</f>
        <v>0</v>
      </c>
      <c r="E146" s="486">
        <f>IF(+J96&lt;F145,J96,D146)</f>
        <v>0</v>
      </c>
      <c r="F146" s="485">
        <f t="shared" si="45"/>
        <v>0</v>
      </c>
      <c r="G146" s="485">
        <f t="shared" si="46"/>
        <v>0</v>
      </c>
      <c r="H146" s="488">
        <f t="shared" si="43"/>
        <v>0</v>
      </c>
      <c r="I146" s="542">
        <f t="shared" si="44"/>
        <v>0</v>
      </c>
      <c r="J146" s="478">
        <f t="shared" si="47"/>
        <v>0</v>
      </c>
      <c r="K146" s="478"/>
      <c r="L146" s="487"/>
      <c r="M146" s="478">
        <f t="shared" si="48"/>
        <v>0</v>
      </c>
      <c r="N146" s="487"/>
      <c r="O146" s="478">
        <f t="shared" si="49"/>
        <v>0</v>
      </c>
      <c r="P146" s="478">
        <f t="shared" si="50"/>
        <v>0</v>
      </c>
    </row>
    <row r="147" spans="2:16">
      <c r="B147" s="160" t="str">
        <f t="shared" si="31"/>
        <v/>
      </c>
      <c r="C147" s="472">
        <f>IF(D93="","-",+C146+1)</f>
        <v>2056</v>
      </c>
      <c r="D147" s="346">
        <f>IF(F146+SUM(E$99:E146)=D$92,F146,D$92-SUM(E$99:E146))</f>
        <v>0</v>
      </c>
      <c r="E147" s="486">
        <f>IF(+J96&lt;F146,J96,D147)</f>
        <v>0</v>
      </c>
      <c r="F147" s="485">
        <f t="shared" si="45"/>
        <v>0</v>
      </c>
      <c r="G147" s="485">
        <f t="shared" si="46"/>
        <v>0</v>
      </c>
      <c r="H147" s="488">
        <f t="shared" si="43"/>
        <v>0</v>
      </c>
      <c r="I147" s="542">
        <f t="shared" si="44"/>
        <v>0</v>
      </c>
      <c r="J147" s="478">
        <f t="shared" si="47"/>
        <v>0</v>
      </c>
      <c r="K147" s="478"/>
      <c r="L147" s="487"/>
      <c r="M147" s="478">
        <f t="shared" si="48"/>
        <v>0</v>
      </c>
      <c r="N147" s="487"/>
      <c r="O147" s="478">
        <f t="shared" si="49"/>
        <v>0</v>
      </c>
      <c r="P147" s="478">
        <f t="shared" si="50"/>
        <v>0</v>
      </c>
    </row>
    <row r="148" spans="2:16">
      <c r="B148" s="160" t="str">
        <f t="shared" si="31"/>
        <v/>
      </c>
      <c r="C148" s="472">
        <f>IF(D93="","-",+C147+1)</f>
        <v>2057</v>
      </c>
      <c r="D148" s="346">
        <f>IF(F147+SUM(E$99:E147)=D$92,F147,D$92-SUM(E$99:E147))</f>
        <v>0</v>
      </c>
      <c r="E148" s="486">
        <f>IF(+J96&lt;F147,J96,D148)</f>
        <v>0</v>
      </c>
      <c r="F148" s="485">
        <f t="shared" si="45"/>
        <v>0</v>
      </c>
      <c r="G148" s="485">
        <f t="shared" si="46"/>
        <v>0</v>
      </c>
      <c r="H148" s="488">
        <f t="shared" si="43"/>
        <v>0</v>
      </c>
      <c r="I148" s="542">
        <f t="shared" si="44"/>
        <v>0</v>
      </c>
      <c r="J148" s="478">
        <f t="shared" si="47"/>
        <v>0</v>
      </c>
      <c r="K148" s="478"/>
      <c r="L148" s="487"/>
      <c r="M148" s="478">
        <f t="shared" si="48"/>
        <v>0</v>
      </c>
      <c r="N148" s="487"/>
      <c r="O148" s="478">
        <f t="shared" si="49"/>
        <v>0</v>
      </c>
      <c r="P148" s="478">
        <f t="shared" si="50"/>
        <v>0</v>
      </c>
    </row>
    <row r="149" spans="2:16">
      <c r="B149" s="160" t="str">
        <f t="shared" si="31"/>
        <v/>
      </c>
      <c r="C149" s="472">
        <f>IF(D93="","-",+C148+1)</f>
        <v>2058</v>
      </c>
      <c r="D149" s="346">
        <f>IF(F148+SUM(E$99:E148)=D$92,F148,D$92-SUM(E$99:E148))</f>
        <v>0</v>
      </c>
      <c r="E149" s="486">
        <f>IF(+J96&lt;F148,J96,D149)</f>
        <v>0</v>
      </c>
      <c r="F149" s="485">
        <f t="shared" si="45"/>
        <v>0</v>
      </c>
      <c r="G149" s="485">
        <f t="shared" si="46"/>
        <v>0</v>
      </c>
      <c r="H149" s="488">
        <f t="shared" si="43"/>
        <v>0</v>
      </c>
      <c r="I149" s="542">
        <f t="shared" si="44"/>
        <v>0</v>
      </c>
      <c r="J149" s="478">
        <f t="shared" si="47"/>
        <v>0</v>
      </c>
      <c r="K149" s="478"/>
      <c r="L149" s="487"/>
      <c r="M149" s="478">
        <f t="shared" si="48"/>
        <v>0</v>
      </c>
      <c r="N149" s="487"/>
      <c r="O149" s="478">
        <f t="shared" si="49"/>
        <v>0</v>
      </c>
      <c r="P149" s="478">
        <f t="shared" si="50"/>
        <v>0</v>
      </c>
    </row>
    <row r="150" spans="2:16">
      <c r="B150" s="160" t="str">
        <f t="shared" si="31"/>
        <v/>
      </c>
      <c r="C150" s="472">
        <f>IF(D93="","-",+C149+1)</f>
        <v>2059</v>
      </c>
      <c r="D150" s="346">
        <f>IF(F149+SUM(E$99:E149)=D$92,F149,D$92-SUM(E$99:E149))</f>
        <v>0</v>
      </c>
      <c r="E150" s="486">
        <f>IF(+J96&lt;F149,J96,D150)</f>
        <v>0</v>
      </c>
      <c r="F150" s="485">
        <f t="shared" si="45"/>
        <v>0</v>
      </c>
      <c r="G150" s="485">
        <f t="shared" si="46"/>
        <v>0</v>
      </c>
      <c r="H150" s="488">
        <f t="shared" si="43"/>
        <v>0</v>
      </c>
      <c r="I150" s="542">
        <f t="shared" si="44"/>
        <v>0</v>
      </c>
      <c r="J150" s="478">
        <f t="shared" si="47"/>
        <v>0</v>
      </c>
      <c r="K150" s="478"/>
      <c r="L150" s="487"/>
      <c r="M150" s="478">
        <f t="shared" si="48"/>
        <v>0</v>
      </c>
      <c r="N150" s="487"/>
      <c r="O150" s="478">
        <f t="shared" si="49"/>
        <v>0</v>
      </c>
      <c r="P150" s="478">
        <f t="shared" si="50"/>
        <v>0</v>
      </c>
    </row>
    <row r="151" spans="2:16">
      <c r="B151" s="160" t="str">
        <f t="shared" si="31"/>
        <v/>
      </c>
      <c r="C151" s="472">
        <f>IF(D93="","-",+C150+1)</f>
        <v>2060</v>
      </c>
      <c r="D151" s="346">
        <f>IF(F150+SUM(E$99:E150)=D$92,F150,D$92-SUM(E$99:E150))</f>
        <v>0</v>
      </c>
      <c r="E151" s="486">
        <f>IF(+J96&lt;F150,J96,D151)</f>
        <v>0</v>
      </c>
      <c r="F151" s="485">
        <f t="shared" si="45"/>
        <v>0</v>
      </c>
      <c r="G151" s="485">
        <f t="shared" si="46"/>
        <v>0</v>
      </c>
      <c r="H151" s="488">
        <f t="shared" si="43"/>
        <v>0</v>
      </c>
      <c r="I151" s="542">
        <f t="shared" si="44"/>
        <v>0</v>
      </c>
      <c r="J151" s="478">
        <f t="shared" si="47"/>
        <v>0</v>
      </c>
      <c r="K151" s="478"/>
      <c r="L151" s="487"/>
      <c r="M151" s="478">
        <f t="shared" si="48"/>
        <v>0</v>
      </c>
      <c r="N151" s="487"/>
      <c r="O151" s="478">
        <f t="shared" si="49"/>
        <v>0</v>
      </c>
      <c r="P151" s="478">
        <f t="shared" si="50"/>
        <v>0</v>
      </c>
    </row>
    <row r="152" spans="2:16">
      <c r="B152" s="160" t="str">
        <f t="shared" si="31"/>
        <v/>
      </c>
      <c r="C152" s="472">
        <f>IF(D93="","-",+C151+1)</f>
        <v>2061</v>
      </c>
      <c r="D152" s="346">
        <f>IF(F151+SUM(E$99:E151)=D$92,F151,D$92-SUM(E$99:E151))</f>
        <v>0</v>
      </c>
      <c r="E152" s="486">
        <f>IF(+J96&lt;F151,J96,D152)</f>
        <v>0</v>
      </c>
      <c r="F152" s="485">
        <f t="shared" si="45"/>
        <v>0</v>
      </c>
      <c r="G152" s="485">
        <f t="shared" si="46"/>
        <v>0</v>
      </c>
      <c r="H152" s="488">
        <f t="shared" si="43"/>
        <v>0</v>
      </c>
      <c r="I152" s="542">
        <f t="shared" si="44"/>
        <v>0</v>
      </c>
      <c r="J152" s="478">
        <f t="shared" si="47"/>
        <v>0</v>
      </c>
      <c r="K152" s="478"/>
      <c r="L152" s="487"/>
      <c r="M152" s="478">
        <f t="shared" si="48"/>
        <v>0</v>
      </c>
      <c r="N152" s="487"/>
      <c r="O152" s="478">
        <f t="shared" si="49"/>
        <v>0</v>
      </c>
      <c r="P152" s="478">
        <f t="shared" si="50"/>
        <v>0</v>
      </c>
    </row>
    <row r="153" spans="2:16">
      <c r="B153" s="160" t="str">
        <f t="shared" si="31"/>
        <v/>
      </c>
      <c r="C153" s="472">
        <f>IF(D93="","-",+C152+1)</f>
        <v>2062</v>
      </c>
      <c r="D153" s="346">
        <f>IF(F152+SUM(E$99:E152)=D$92,F152,D$92-SUM(E$99:E152))</f>
        <v>0</v>
      </c>
      <c r="E153" s="486">
        <f>IF(+J96&lt;F152,J96,D153)</f>
        <v>0</v>
      </c>
      <c r="F153" s="485">
        <f t="shared" si="45"/>
        <v>0</v>
      </c>
      <c r="G153" s="485">
        <f t="shared" si="46"/>
        <v>0</v>
      </c>
      <c r="H153" s="488">
        <f t="shared" si="43"/>
        <v>0</v>
      </c>
      <c r="I153" s="542">
        <f t="shared" si="44"/>
        <v>0</v>
      </c>
      <c r="J153" s="478">
        <f t="shared" si="47"/>
        <v>0</v>
      </c>
      <c r="K153" s="478"/>
      <c r="L153" s="487"/>
      <c r="M153" s="478">
        <f t="shared" si="48"/>
        <v>0</v>
      </c>
      <c r="N153" s="487"/>
      <c r="O153" s="478">
        <f t="shared" si="49"/>
        <v>0</v>
      </c>
      <c r="P153" s="478">
        <f t="shared" si="50"/>
        <v>0</v>
      </c>
    </row>
    <row r="154" spans="2:16" ht="13.5" thickBot="1">
      <c r="B154" s="160" t="str">
        <f t="shared" si="31"/>
        <v/>
      </c>
      <c r="C154" s="489">
        <f>IF(D93="","-",+C153+1)</f>
        <v>2063</v>
      </c>
      <c r="D154" s="543">
        <f>IF(F153+SUM(E$99:E153)=D$92,F153,D$92-SUM(E$99:E153))</f>
        <v>0</v>
      </c>
      <c r="E154" s="544">
        <f>IF(+J96&lt;F153,J96,D154)</f>
        <v>0</v>
      </c>
      <c r="F154" s="490">
        <f t="shared" si="45"/>
        <v>0</v>
      </c>
      <c r="G154" s="490">
        <f t="shared" si="46"/>
        <v>0</v>
      </c>
      <c r="H154" s="492">
        <f t="shared" si="43"/>
        <v>0</v>
      </c>
      <c r="I154" s="545">
        <f t="shared" si="44"/>
        <v>0</v>
      </c>
      <c r="J154" s="495">
        <f t="shared" si="47"/>
        <v>0</v>
      </c>
      <c r="K154" s="478"/>
      <c r="L154" s="494"/>
      <c r="M154" s="495">
        <f t="shared" si="48"/>
        <v>0</v>
      </c>
      <c r="N154" s="494"/>
      <c r="O154" s="495">
        <f t="shared" si="49"/>
        <v>0</v>
      </c>
      <c r="P154" s="495">
        <f t="shared" si="50"/>
        <v>0</v>
      </c>
    </row>
    <row r="155" spans="2:16">
      <c r="C155" s="346" t="s">
        <v>77</v>
      </c>
      <c r="D155" s="347"/>
      <c r="E155" s="347">
        <f>SUM(E99:E154)</f>
        <v>1520502</v>
      </c>
      <c r="F155" s="347"/>
      <c r="G155" s="347"/>
      <c r="H155" s="347">
        <f>SUM(H99:H154)</f>
        <v>5642367.106005054</v>
      </c>
      <c r="I155" s="347">
        <f>SUM(I99:I154)</f>
        <v>5642367.106005054</v>
      </c>
      <c r="J155" s="347">
        <f>SUM(J99:J154)</f>
        <v>0</v>
      </c>
      <c r="K155" s="347"/>
      <c r="L155" s="347"/>
      <c r="M155" s="347"/>
      <c r="N155" s="347"/>
      <c r="O155" s="347"/>
      <c r="P155" s="232"/>
    </row>
    <row r="156" spans="2:16">
      <c r="C156" s="148" t="s">
        <v>100</v>
      </c>
      <c r="D156" s="240"/>
      <c r="E156" s="232"/>
      <c r="F156" s="232"/>
      <c r="G156" s="232"/>
      <c r="H156" s="232"/>
      <c r="I156" s="241"/>
      <c r="J156" s="241"/>
      <c r="K156" s="347"/>
      <c r="L156" s="241"/>
      <c r="M156" s="241"/>
      <c r="N156" s="241"/>
      <c r="O156" s="241"/>
      <c r="P156" s="232"/>
    </row>
    <row r="157" spans="2:16">
      <c r="C157" s="546"/>
      <c r="D157" s="240"/>
      <c r="E157" s="232"/>
      <c r="F157" s="232"/>
      <c r="G157" s="232"/>
      <c r="H157" s="232"/>
      <c r="I157" s="241"/>
      <c r="J157" s="241"/>
      <c r="K157" s="347"/>
      <c r="L157" s="241"/>
      <c r="M157" s="241"/>
      <c r="N157" s="241"/>
      <c r="O157" s="241"/>
      <c r="P157" s="232"/>
    </row>
    <row r="158" spans="2:16">
      <c r="C158" s="563" t="s">
        <v>148</v>
      </c>
      <c r="D158" s="240"/>
      <c r="E158" s="232"/>
      <c r="F158" s="232"/>
      <c r="G158" s="232"/>
      <c r="H158" s="232"/>
      <c r="I158" s="241"/>
      <c r="J158" s="241"/>
      <c r="K158" s="347"/>
      <c r="L158" s="241"/>
      <c r="M158" s="241"/>
      <c r="N158" s="241"/>
      <c r="O158" s="241"/>
      <c r="P158" s="232"/>
    </row>
    <row r="159" spans="2:16">
      <c r="C159" s="431" t="s">
        <v>78</v>
      </c>
      <c r="D159" s="346"/>
      <c r="E159" s="346"/>
      <c r="F159" s="346"/>
      <c r="G159" s="346"/>
      <c r="H159" s="347"/>
      <c r="I159" s="347"/>
      <c r="J159" s="348"/>
      <c r="K159" s="348"/>
      <c r="L159" s="348"/>
      <c r="M159" s="348"/>
      <c r="N159" s="348"/>
      <c r="O159" s="348"/>
      <c r="P159" s="232"/>
    </row>
    <row r="160" spans="2:16">
      <c r="C160" s="547" t="s">
        <v>79</v>
      </c>
      <c r="D160" s="346"/>
      <c r="E160" s="346"/>
      <c r="F160" s="346"/>
      <c r="G160" s="346"/>
      <c r="H160" s="347"/>
      <c r="I160" s="347"/>
      <c r="J160" s="348"/>
      <c r="K160" s="348"/>
      <c r="L160" s="348"/>
      <c r="M160" s="348"/>
      <c r="N160" s="348"/>
      <c r="O160" s="348"/>
      <c r="P160" s="232"/>
    </row>
    <row r="161" spans="3:16">
      <c r="C161" s="547"/>
      <c r="D161" s="346"/>
      <c r="E161" s="346"/>
      <c r="F161" s="346"/>
      <c r="G161" s="346"/>
      <c r="H161" s="347"/>
      <c r="I161" s="347"/>
      <c r="J161" s="348"/>
      <c r="K161" s="348"/>
      <c r="L161" s="348"/>
      <c r="M161" s="348"/>
      <c r="N161" s="348"/>
      <c r="O161" s="348"/>
      <c r="P161" s="232"/>
    </row>
    <row r="162" spans="3:16" ht="18">
      <c r="C162" s="547"/>
      <c r="D162" s="346"/>
      <c r="E162" s="346"/>
      <c r="F162" s="346"/>
      <c r="G162" s="346"/>
      <c r="H162" s="347"/>
      <c r="I162" s="347"/>
      <c r="J162" s="348"/>
      <c r="K162" s="348"/>
      <c r="L162" s="348"/>
      <c r="M162" s="348"/>
      <c r="N162" s="348"/>
      <c r="P162" s="553" t="s">
        <v>145</v>
      </c>
    </row>
  </sheetData>
  <phoneticPr fontId="0" type="noConversion"/>
  <conditionalFormatting sqref="C17:C72">
    <cfRule type="cellIs" dxfId="56" priority="1" stopIfTrue="1" operator="equal">
      <formula>$I$10</formula>
    </cfRule>
  </conditionalFormatting>
  <conditionalFormatting sqref="C99:C154">
    <cfRule type="cellIs" dxfId="55" priority="2" stopIfTrue="1" operator="equal">
      <formula>$J$92</formula>
    </cfRule>
  </conditionalFormatting>
  <pageMargins left="0.5" right="0.25" top="1" bottom="0.25" header="0.25" footer="0.5"/>
  <pageSetup scale="47" fitToHeight="2" orientation="landscape" horizontalDpi="1200" verticalDpi="1200" r:id="rId1"/>
  <headerFooter alignWithMargins="0">
    <oddHeader xml:space="preserve">&amp;R&amp;16AEP - SPP Formula Rate
PSO TCOS - Worksheets F and G
Section IV -- (BPU Project Tables)
Page: &amp;P of &amp;N
</oddHeader>
    <oddFooter>&amp;L&amp;A</oddFooter>
  </headerFooter>
  <rowBreaks count="1" manualBreakCount="1">
    <brk id="82" max="1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FE233731-63D1-45BA-8FC5-3C4B8F20E3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28</vt:i4>
      </vt:variant>
    </vt:vector>
  </HeadingPairs>
  <TitlesOfParts>
    <vt:vector size="63" baseType="lpstr">
      <vt:lpstr>PSO.Sch.11.Rates</vt:lpstr>
      <vt:lpstr>PSO.WS.F.BPU.ATRR.Projected</vt:lpstr>
      <vt:lpstr>PSO.WS.G.BPU.ATRR.True-up</vt:lpstr>
      <vt:lpstr>P.001</vt:lpstr>
      <vt:lpstr>P.002</vt:lpstr>
      <vt:lpstr>P.003</vt:lpstr>
      <vt:lpstr>P.004</vt:lpstr>
      <vt:lpstr>P.005</vt:lpstr>
      <vt:lpstr>P.006</vt:lpstr>
      <vt:lpstr>P.007</vt:lpstr>
      <vt:lpstr>P.008</vt:lpstr>
      <vt:lpstr>P.009</vt:lpstr>
      <vt:lpstr>P.010</vt:lpstr>
      <vt:lpstr>P.011</vt:lpstr>
      <vt:lpstr>P.012</vt:lpstr>
      <vt:lpstr>P.013</vt:lpstr>
      <vt:lpstr>P.014</vt:lpstr>
      <vt:lpstr>P.015</vt:lpstr>
      <vt:lpstr>P.016</vt:lpstr>
      <vt:lpstr>P.017</vt:lpstr>
      <vt:lpstr>P.018</vt:lpstr>
      <vt:lpstr>P.019</vt:lpstr>
      <vt:lpstr>P.020</vt:lpstr>
      <vt:lpstr>P.021</vt:lpstr>
      <vt:lpstr>P.022</vt:lpstr>
      <vt:lpstr>P.023</vt:lpstr>
      <vt:lpstr>P.024</vt:lpstr>
      <vt:lpstr>P.025</vt:lpstr>
      <vt:lpstr>P.026</vt:lpstr>
      <vt:lpstr>P.027</vt:lpstr>
      <vt:lpstr>P.028</vt:lpstr>
      <vt:lpstr>P.029</vt:lpstr>
      <vt:lpstr>P.030</vt:lpstr>
      <vt:lpstr>P.031</vt:lpstr>
      <vt:lpstr>P.xyz - blank</vt:lpstr>
      <vt:lpstr>P.001!Print_Area</vt:lpstr>
      <vt:lpstr>P.002!Print_Area</vt:lpstr>
      <vt:lpstr>P.003!Print_Area</vt:lpstr>
      <vt:lpstr>P.004!Print_Area</vt:lpstr>
      <vt:lpstr>P.005!Print_Area</vt:lpstr>
      <vt:lpstr>P.006!Print_Area</vt:lpstr>
      <vt:lpstr>P.007!Print_Area</vt:lpstr>
      <vt:lpstr>P.008!Print_Area</vt:lpstr>
      <vt:lpstr>P.009!Print_Area</vt:lpstr>
      <vt:lpstr>P.010!Print_Area</vt:lpstr>
      <vt:lpstr>P.011!Print_Area</vt:lpstr>
      <vt:lpstr>P.012!Print_Area</vt:lpstr>
      <vt:lpstr>P.013!Print_Area</vt:lpstr>
      <vt:lpstr>P.014!Print_Area</vt:lpstr>
      <vt:lpstr>P.015!Print_Area</vt:lpstr>
      <vt:lpstr>P.016!Print_Area</vt:lpstr>
      <vt:lpstr>P.017!Print_Area</vt:lpstr>
      <vt:lpstr>P.018!Print_Area</vt:lpstr>
      <vt:lpstr>P.019!Print_Area</vt:lpstr>
      <vt:lpstr>P.020!Print_Area</vt:lpstr>
      <vt:lpstr>P.021!Print_Area</vt:lpstr>
      <vt:lpstr>P.022!Print_Area</vt:lpstr>
      <vt:lpstr>'P.xyz - blank'!Print_Area</vt:lpstr>
      <vt:lpstr>PSO.Sch.11.Rates!Print_Area</vt:lpstr>
      <vt:lpstr>PSO.WS.F.BPU.ATRR.Projected!Print_Area</vt:lpstr>
      <vt:lpstr>'PSO.WS.G.BPU.ATRR.True-up'!Print_Area</vt:lpstr>
      <vt:lpstr>PSO.WS.F.BPU.ATRR.Projected!Print_Titles</vt:lpstr>
      <vt:lpstr>'PSO.WS.G.BPU.ATRR.True-up'!Print_Titles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R.Pennybaker</dc:creator>
  <cp:keywords/>
  <cp:lastModifiedBy>s177040</cp:lastModifiedBy>
  <cp:lastPrinted>2021-11-01T14:32:39Z</cp:lastPrinted>
  <dcterms:created xsi:type="dcterms:W3CDTF">2009-05-11T14:02:48Z</dcterms:created>
  <dcterms:modified xsi:type="dcterms:W3CDTF">2021-11-01T17:18:28Z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9c9446c6-c09d-4578-91e9-dbf9e47c0c39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