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65" windowWidth="9135" windowHeight="10080" tabRatio="848" activeTab="0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Rates'!$A$1:$U$64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Rates'!$A$1:$U$59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<sst xmlns="http://schemas.openxmlformats.org/spreadsheetml/2006/main" count="121" uniqueCount="67">
  <si>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</si>
  <si>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</si>
  <si>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</si>
  <si>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</si>
  <si>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</si>
  <si>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</si>
  <si>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</si>
  <si>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</si>
  <si>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</si>
  <si>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</si>
  <si>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</si>
  <si>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</si>
  <si>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</si>
  <si>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</si>
  <si>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</si>
  <si>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</si>
  <si>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</si>
  <si>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</si>
  <si>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</si>
  <si>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</si>
  <si>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</si>
  <si>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</si>
  <si>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</si>
  <si>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</si>
  <si>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</si>
  <si>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</si>
  <si>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</si>
  <si>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</si>
  <si>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</si>
  <si>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</si>
  <si>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</si>
  <si>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</si>
  <si>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</si>
  <si>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</si>
  <si>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</si>
  <si>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</si>
  <si>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</si>
  <si>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</si>
  <si>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</si>
  <si>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</si>
  <si>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</si>
  <si>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</si>
  <si>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</si>
  <si>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</si>
  <si>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</si>
  <si>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</si>
  <si>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</si>
  <si>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</si>
  <si>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</si>
  <si>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</si>
  <si>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</si>
  <si>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</si>
  <si>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</si>
  <si>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</si>
  <si>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</si>
  <si>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</si>
  <si>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</si>
  <si>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</si>
  <si>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</si>
  <si>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</si>
  <si>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</si>
  <si>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Forecasted Costs Through December 31, 2020</t>
  </si>
  <si>
    <t>PRIOR YEAR TRUE-UP (2018 including interest)</t>
  </si>
  <si>
    <t>11b</t>
  </si>
  <si>
    <t>11c</t>
  </si>
  <si>
    <t>FERC Audit FA17-1-000 (including interest)</t>
  </si>
  <si>
    <t>FERC Audit FA17-2-000 (including interest)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</si>
</sst>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0" fontId="6" fillId="35" borderId="0" xfId="57" applyNumberFormat="1" applyFont="1" applyFill="1" applyBorder="1" applyAlignment="1" applyProtection="1">
      <alignment/>
      <protection locked="0"/>
    </xf>
    <xf numFmtId="170" fontId="6" fillId="35" borderId="0" xfId="57" applyNumberFormat="1" applyFont="1" applyFill="1" applyAlignment="1" applyProtection="1">
      <alignment/>
      <protection locked="0"/>
    </xf>
    <xf numFmtId="170" fontId="10" fillId="35" borderId="0" xfId="42" applyNumberFormat="1" applyFont="1" applyFill="1" applyAlignment="1">
      <alignment/>
    </xf>
    <xf numFmtId="170" fontId="6" fillId="35" borderId="0" xfId="42" applyNumberFormat="1" applyFont="1" applyFill="1" applyAlignment="1" applyProtection="1">
      <alignment/>
      <protection locked="0"/>
    </xf>
    <xf numFmtId="170" fontId="6" fillId="35" borderId="0" xfId="57" applyNumberFormat="1" applyFont="1" applyFill="1" applyAlignment="1">
      <alignment/>
    </xf>
    <xf numFmtId="178" fontId="10" fillId="34" borderId="0" xfId="42" applyNumberFormat="1" applyFont="1" applyFill="1" applyAlignment="1" applyProtection="1">
      <alignment/>
      <protection locked="0"/>
    </xf>
    <xf numFmtId="173" fontId="10" fillId="34" borderId="0" xfId="42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8"/>
  <sheetViews>
    <sheetView tabSelected="1" workbookViewId="0" topLeftCell="F31">
      <selection activeCell="S40" sqref="S40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140625" style="1" customWidth="1"/>
    <col min="11" max="11" width="18.421875" style="1" bestFit="1" customWidth="1"/>
    <col min="12" max="12" width="3.421875" style="1" customWidth="1"/>
    <col min="13" max="13" width="16.003906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14062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2020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5">
      <c r="A4" s="133" t="s">
        <v>61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5">
      <c r="A5" s="132" t="str">
        <f>"For rates effective January 1, 2020"</f>
        <v>For rates effective January 1, 2020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922244214.8620553</v>
      </c>
      <c r="J15" s="20"/>
      <c r="K15" s="105">
        <v>363424258.0767122</v>
      </c>
      <c r="L15" s="87"/>
      <c r="M15" s="86">
        <v>146251815.8793093</v>
      </c>
      <c r="N15" s="88"/>
      <c r="O15" s="86">
        <v>63275567.42260731</v>
      </c>
      <c r="P15" s="88"/>
      <c r="Q15" s="86">
        <v>6274880.519421473</v>
      </c>
      <c r="R15" s="88"/>
      <c r="S15" s="86">
        <v>328540740.1125999</v>
      </c>
      <c r="T15" s="88"/>
      <c r="U15" s="86">
        <v>14476952.85140511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32331244.28373851</v>
      </c>
      <c r="J17" s="20"/>
      <c r="K17" s="86">
        <v>7822518.0508</v>
      </c>
      <c r="L17" s="87"/>
      <c r="M17" s="86">
        <v>3051188.980035428</v>
      </c>
      <c r="N17" s="88"/>
      <c r="O17" s="86">
        <v>1273953.9999999995</v>
      </c>
      <c r="P17" s="88"/>
      <c r="Q17" s="86">
        <v>330175.9549031156</v>
      </c>
      <c r="R17" s="88"/>
      <c r="S17" s="86">
        <v>16512964.837999962</v>
      </c>
      <c r="T17" s="88"/>
      <c r="U17" s="86">
        <v>3340442.46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30" t="s">
        <v>9</v>
      </c>
      <c r="E19" s="131"/>
      <c r="F19" s="21"/>
      <c r="G19" s="8" t="s">
        <v>47</v>
      </c>
      <c r="H19" s="4"/>
      <c r="I19" s="19">
        <f>SUM(K19,M19,O19,Q19,S19,U19)</f>
        <v>889912970.5783167</v>
      </c>
      <c r="J19" s="22"/>
      <c r="K19" s="22">
        <f>+K15-K17</f>
        <v>355601740.02591217</v>
      </c>
      <c r="L19" s="22"/>
      <c r="M19" s="22">
        <f>+M15-M17</f>
        <v>143200626.89927387</v>
      </c>
      <c r="N19" s="19"/>
      <c r="O19" s="22">
        <f>+O15-O17</f>
        <v>62001613.42260731</v>
      </c>
      <c r="P19" s="19"/>
      <c r="Q19" s="22">
        <f>+Q15-Q17</f>
        <v>5944704.564518358</v>
      </c>
      <c r="R19" s="19"/>
      <c r="S19" s="72">
        <f>+S15-S17</f>
        <v>312027775.27459997</v>
      </c>
      <c r="T19" s="19"/>
      <c r="U19" s="22">
        <f>+U15-U17</f>
        <v>11136510.39140511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38218652.500433594</v>
      </c>
      <c r="J22" s="115"/>
      <c r="K22" s="116">
        <v>22018180.706208542</v>
      </c>
      <c r="L22" s="117"/>
      <c r="M22" s="116">
        <v>5012170.379932776</v>
      </c>
      <c r="N22" s="116"/>
      <c r="O22" s="116">
        <v>0</v>
      </c>
      <c r="P22" s="116"/>
      <c r="Q22" s="116">
        <v>0</v>
      </c>
      <c r="R22" s="116"/>
      <c r="S22" s="116">
        <v>11070454.610951366</v>
      </c>
      <c r="T22" s="116"/>
      <c r="U22" s="116">
        <v>117846.80334090827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38218652.500433594</v>
      </c>
      <c r="J24" s="115"/>
      <c r="K24" s="120">
        <f>+K23+K22</f>
        <v>22018180.706208542</v>
      </c>
      <c r="L24" s="120"/>
      <c r="M24" s="120">
        <f>+M23+M22</f>
        <v>5012170.379932776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11070454.610951366</v>
      </c>
      <c r="T24" s="114"/>
      <c r="U24" s="120">
        <f>+U23+U22</f>
        <v>117846.80334090827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851694318.0778832</v>
      </c>
      <c r="J26" s="22"/>
      <c r="K26" s="77">
        <f>+K19-K24</f>
        <v>333583559.31970364</v>
      </c>
      <c r="L26" s="77"/>
      <c r="M26" s="77">
        <f>+M19-M24</f>
        <v>138188456.5193411</v>
      </c>
      <c r="N26" s="19"/>
      <c r="O26" s="77">
        <f>+O19-O24</f>
        <v>62001613.42260731</v>
      </c>
      <c r="P26" s="19"/>
      <c r="Q26" s="77">
        <f>+Q19-Q24</f>
        <v>5944704.564518358</v>
      </c>
      <c r="R26" s="19"/>
      <c r="S26" s="78">
        <f>+S19-S24</f>
        <v>300957320.6636486</v>
      </c>
      <c r="T26" s="19"/>
      <c r="U26" s="77">
        <f>+U19-U24</f>
        <v>11018663.588064201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851694318.0778832</v>
      </c>
      <c r="J30" s="22"/>
      <c r="K30" s="77">
        <f>+K26+K28</f>
        <v>333583559.31970364</v>
      </c>
      <c r="L30" s="77"/>
      <c r="M30" s="78">
        <f>+M26+M28</f>
        <v>138188456.5193411</v>
      </c>
      <c r="N30" s="19"/>
      <c r="O30" s="77">
        <f>+O26+O28</f>
        <v>62001613.42260731</v>
      </c>
      <c r="P30" s="19"/>
      <c r="Q30" s="77">
        <f>+Q26+Q28</f>
        <v>5944704.564518358</v>
      </c>
      <c r="R30" s="19"/>
      <c r="S30" s="78">
        <f>+S26+S28</f>
        <v>300957320.6636486</v>
      </c>
      <c r="T30" s="19"/>
      <c r="U30" s="77">
        <f>+U26+U28</f>
        <v>11018663.588064201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(2019) ACTUAL ATRR</v>
      </c>
      <c r="E32" s="6"/>
      <c r="F32" s="21"/>
      <c r="G32" s="25" t="str">
        <f>"Input from "&amp;V1-1&amp;" True-up"</f>
        <v>Input from 2019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(2019)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62</v>
      </c>
      <c r="E34" s="6"/>
      <c r="F34" s="21"/>
      <c r="G34" s="21" t="s">
        <v>54</v>
      </c>
      <c r="H34" s="4"/>
      <c r="I34" s="19">
        <f>SUM(K34,M34,O34,Q34,S34,U34)</f>
        <v>18241304.77252391</v>
      </c>
      <c r="J34" s="112"/>
      <c r="K34" s="112">
        <v>14782175.92652786</v>
      </c>
      <c r="L34" s="112"/>
      <c r="M34" s="112">
        <v>341774.75501205726</v>
      </c>
      <c r="N34" s="112"/>
      <c r="O34" s="112">
        <v>2309457.198706912</v>
      </c>
      <c r="P34" s="112"/>
      <c r="Q34" s="112">
        <v>1280502.1029157573</v>
      </c>
      <c r="R34" s="112"/>
      <c r="S34" s="112">
        <v>-2128340.345395762</v>
      </c>
      <c r="T34" s="112"/>
      <c r="U34" s="112">
        <v>1655735.1347570848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4740372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4740372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2:29" ht="15">
      <c r="B37" s="122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2"/>
      <c r="W37" s="92"/>
      <c r="X37" s="92"/>
      <c r="Y37" s="92"/>
      <c r="Z37" s="92"/>
      <c r="AA37" s="92"/>
      <c r="AB37" s="92"/>
      <c r="AC37" s="92"/>
    </row>
    <row r="38" spans="2:29" ht="15">
      <c r="B38" s="122" t="s">
        <v>63</v>
      </c>
      <c r="D38" s="18" t="s">
        <v>65</v>
      </c>
      <c r="E38" s="6"/>
      <c r="F38" s="21"/>
      <c r="G38" s="25"/>
      <c r="H38" s="4"/>
      <c r="I38" s="19">
        <f>SUM(K38,M38,O38,Q38,S38,U38)</f>
        <v>787258</v>
      </c>
      <c r="J38" s="22"/>
      <c r="K38" s="77">
        <v>44070</v>
      </c>
      <c r="L38" s="77"/>
      <c r="M38" s="78">
        <v>151235</v>
      </c>
      <c r="N38" s="19"/>
      <c r="O38" s="77">
        <v>88478</v>
      </c>
      <c r="P38" s="19"/>
      <c r="Q38" s="77">
        <v>66</v>
      </c>
      <c r="R38" s="19"/>
      <c r="S38" s="78">
        <v>489897</v>
      </c>
      <c r="T38" s="19"/>
      <c r="U38" s="77">
        <v>13512</v>
      </c>
      <c r="V38" s="92"/>
      <c r="W38" s="92"/>
      <c r="X38" s="92"/>
      <c r="Y38" s="92"/>
      <c r="Z38" s="92"/>
      <c r="AA38" s="92"/>
      <c r="AB38" s="92"/>
      <c r="AC38" s="92"/>
    </row>
    <row r="39" spans="2:29" ht="15">
      <c r="B39" s="122"/>
      <c r="D39" s="18"/>
      <c r="E39" s="6"/>
      <c r="F39" s="21"/>
      <c r="G39" s="25"/>
      <c r="H39" s="4"/>
      <c r="I39" s="70"/>
      <c r="J39" s="22"/>
      <c r="K39" s="77"/>
      <c r="L39" s="77"/>
      <c r="M39" s="78"/>
      <c r="N39" s="19"/>
      <c r="O39" s="77"/>
      <c r="P39" s="19"/>
      <c r="Q39" s="77"/>
      <c r="R39" s="19"/>
      <c r="S39" s="78"/>
      <c r="T39" s="19"/>
      <c r="U39" s="77"/>
      <c r="V39" s="92"/>
      <c r="W39" s="92"/>
      <c r="X39" s="92"/>
      <c r="Y39" s="92"/>
      <c r="Z39" s="92"/>
      <c r="AA39" s="92"/>
      <c r="AB39" s="92"/>
      <c r="AC39" s="92"/>
    </row>
    <row r="40" spans="2:29" ht="15">
      <c r="B40" s="122" t="s">
        <v>64</v>
      </c>
      <c r="D40" s="18" t="s">
        <v>66</v>
      </c>
      <c r="E40" s="6"/>
      <c r="F40" s="21"/>
      <c r="G40" s="25"/>
      <c r="H40" s="4"/>
      <c r="I40" s="112">
        <f>SUM(K40,M40,O40,Q40,S40,U40)</f>
        <v>-4126614.8968254267</v>
      </c>
      <c r="J40" s="22"/>
      <c r="K40" s="77"/>
      <c r="L40" s="77"/>
      <c r="M40" s="78"/>
      <c r="N40" s="19"/>
      <c r="O40" s="77"/>
      <c r="P40" s="19"/>
      <c r="Q40" s="77"/>
      <c r="R40" s="19"/>
      <c r="S40" s="112">
        <v>-4126614.8968254267</v>
      </c>
      <c r="T40" s="19"/>
      <c r="U40" s="77"/>
      <c r="V40" s="92"/>
      <c r="W40" s="92"/>
      <c r="X40" s="92"/>
      <c r="Y40" s="92"/>
      <c r="Z40" s="92"/>
      <c r="AA40" s="92"/>
      <c r="AB40" s="92"/>
      <c r="AC40" s="92"/>
    </row>
    <row r="41" spans="4:29" ht="15.75" thickBot="1">
      <c r="D41" s="1" t="s">
        <v>12</v>
      </c>
      <c r="E41" s="6"/>
      <c r="F41" s="21"/>
      <c r="G41" s="4"/>
      <c r="H41" s="4"/>
      <c r="I41" s="70"/>
      <c r="J41" s="22"/>
      <c r="K41" s="78"/>
      <c r="L41" s="85"/>
      <c r="M41" s="78"/>
      <c r="N41" s="71"/>
      <c r="O41" s="78"/>
      <c r="P41" s="71"/>
      <c r="Q41" s="78"/>
      <c r="R41" s="71"/>
      <c r="S41" s="84"/>
      <c r="T41" s="71"/>
      <c r="U41" s="78"/>
      <c r="V41" s="92"/>
      <c r="W41" s="94"/>
      <c r="X41" s="95"/>
      <c r="Y41" s="95"/>
      <c r="Z41" s="95"/>
      <c r="AA41" s="95"/>
      <c r="AB41" s="95"/>
      <c r="AC41" s="92"/>
    </row>
    <row r="42" spans="2:29" ht="16.5" thickBot="1">
      <c r="B42" s="7">
        <f>+B34+1</f>
        <v>12</v>
      </c>
      <c r="C42" s="8"/>
      <c r="D42" s="27" t="s">
        <v>55</v>
      </c>
      <c r="E42" s="28"/>
      <c r="F42" s="29"/>
      <c r="G42" s="110" t="str">
        <f>"(Ln "&amp;B30&amp;" + Ln "&amp;B34&amp;")"</f>
        <v>(Ln 10 + Ln 11)</v>
      </c>
      <c r="H42" s="31"/>
      <c r="I42" s="32">
        <f>+I30+I34+I36+I38+I40</f>
        <v>871336637.9535817</v>
      </c>
      <c r="J42" s="22"/>
      <c r="K42" s="32">
        <f>+K30+K34+K38</f>
        <v>348409805.2462315</v>
      </c>
      <c r="L42" s="34"/>
      <c r="M42" s="32">
        <f>+M30+M34+M38</f>
        <v>138681466.27435318</v>
      </c>
      <c r="N42" s="19"/>
      <c r="O42" s="32">
        <f>+O30+O34+O38</f>
        <v>64399548.62131422</v>
      </c>
      <c r="P42" s="19"/>
      <c r="Q42" s="32">
        <f>+Q30+Q34+Q38</f>
        <v>7225272.667434115</v>
      </c>
      <c r="R42" s="19"/>
      <c r="S42" s="32">
        <f>+S30+S34+S36+S38+S40</f>
        <v>299932634.4214274</v>
      </c>
      <c r="T42" s="19"/>
      <c r="U42" s="32">
        <f>+U30+U34+U38</f>
        <v>12687910.722821286</v>
      </c>
      <c r="V42" s="92"/>
      <c r="W42" s="96"/>
      <c r="X42" s="97"/>
      <c r="Y42" s="97"/>
      <c r="Z42" s="97"/>
      <c r="AA42" s="97"/>
      <c r="AB42" s="97"/>
      <c r="AC42" s="92"/>
    </row>
    <row r="43" spans="2:22" ht="15">
      <c r="B43" s="7"/>
      <c r="C43" s="8"/>
      <c r="D43" s="18"/>
      <c r="E43" s="6"/>
      <c r="G43" s="21"/>
      <c r="H43" s="4"/>
      <c r="I43" s="34"/>
      <c r="J43" s="4"/>
      <c r="L43" s="34"/>
      <c r="N43" s="34"/>
      <c r="O43" s="92"/>
      <c r="P43" s="96"/>
      <c r="Q43" s="97"/>
      <c r="R43" s="97"/>
      <c r="S43" s="97"/>
      <c r="T43" s="97"/>
      <c r="U43" s="97"/>
      <c r="V43" s="92"/>
    </row>
    <row r="44" spans="1:22" ht="15.75">
      <c r="A44" s="12" t="s">
        <v>18</v>
      </c>
      <c r="B44" s="17" t="s">
        <v>19</v>
      </c>
      <c r="C44" s="15"/>
      <c r="D44" s="6"/>
      <c r="E44" s="111" t="s">
        <v>12</v>
      </c>
      <c r="F44" s="6"/>
      <c r="G44" s="6"/>
      <c r="H44" s="6"/>
      <c r="I44" s="34"/>
      <c r="J44" s="6"/>
      <c r="K44" s="101"/>
      <c r="L44" s="100"/>
      <c r="M44" s="101"/>
      <c r="N44" s="100"/>
      <c r="O44" s="92"/>
      <c r="P44" s="96"/>
      <c r="Q44" s="97"/>
      <c r="R44" s="97"/>
      <c r="S44" s="97"/>
      <c r="T44" s="97"/>
      <c r="U44" s="97"/>
      <c r="V44" s="92"/>
    </row>
    <row r="45" spans="2:22" ht="15">
      <c r="B45" s="7">
        <f>+B42+1</f>
        <v>13</v>
      </c>
      <c r="C45" s="8"/>
      <c r="D45" s="35" t="str">
        <f>""&amp;V1&amp;" AEP East Zone Network Service Peak Load (1 CP)"</f>
        <v>2020 AEP East Zone Network Service Peak Load (1 CP)</v>
      </c>
      <c r="E45" s="6"/>
      <c r="F45" s="21"/>
      <c r="G45" s="25"/>
      <c r="H45" s="4"/>
      <c r="I45" s="128">
        <v>22499.7</v>
      </c>
      <c r="J45" s="4" t="s">
        <v>20</v>
      </c>
      <c r="L45" s="22"/>
      <c r="N45" s="22"/>
      <c r="O45" s="92"/>
      <c r="P45" s="96"/>
      <c r="Q45" s="97"/>
      <c r="R45" s="97"/>
      <c r="S45" s="97"/>
      <c r="T45" s="97"/>
      <c r="U45" s="97"/>
      <c r="V45" s="92"/>
    </row>
    <row r="46" spans="1:22" ht="15">
      <c r="A46" s="36"/>
      <c r="B46" s="37"/>
      <c r="C46" s="38"/>
      <c r="D46" s="35"/>
      <c r="E46"/>
      <c r="F46"/>
      <c r="G46" s="39"/>
      <c r="H46"/>
      <c r="I46" s="40"/>
      <c r="J46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1:22" ht="15">
      <c r="A47" s="36"/>
      <c r="B47" s="41">
        <f>+B45+1</f>
        <v>14</v>
      </c>
      <c r="C47" s="38"/>
      <c r="D47" s="35" t="str">
        <f>"Annual Point-to-Point Rate in $/MW - Year"</f>
        <v>Annual Point-to-Point Rate in $/MW - Year</v>
      </c>
      <c r="E47" s="42"/>
      <c r="F47" s="42"/>
      <c r="G47" s="43" t="str">
        <f>"(Ln "&amp;B42&amp;" / Ln "&amp;B45&amp;")"</f>
        <v>(Ln 12 / Ln 13)</v>
      </c>
      <c r="H47" s="42"/>
      <c r="I47" s="69">
        <f>ROUND(+I42/I45,4)</f>
        <v>38726.5892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1:22" ht="15">
      <c r="A48" s="36"/>
      <c r="B48" s="41">
        <f aca="true" t="shared" si="0" ref="B48:B53">+B47+1</f>
        <v>15</v>
      </c>
      <c r="C48" s="38"/>
      <c r="D48" s="35" t="str">
        <f>"Monthly Point-to-Point Rate in $/MW - Month"</f>
        <v>Monthly Point-to-Point Rate in $/MW - Month</v>
      </c>
      <c r="E48" s="42"/>
      <c r="F48" s="42"/>
      <c r="G48" s="43" t="str">
        <f>"(Ln "&amp;B47&amp;" / 12)"</f>
        <v>(Ln 14 / 12)</v>
      </c>
      <c r="H48" s="42"/>
      <c r="I48" s="69">
        <f>ROUND(+I$47/12,4)</f>
        <v>3227.2158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1:22" ht="15">
      <c r="A49" s="36"/>
      <c r="B49" s="41">
        <f t="shared" si="0"/>
        <v>16</v>
      </c>
      <c r="C49" s="38"/>
      <c r="D49" s="35" t="str">
        <f>"Weekly Point-to-Point Rate in $/MW - Weekly"</f>
        <v>Weekly Point-to-Point Rate in $/MW - Weekly</v>
      </c>
      <c r="E49" s="38"/>
      <c r="F49" s="38"/>
      <c r="G49" s="43" t="str">
        <f>"(Ln "&amp;B47&amp;" / 52)"</f>
        <v>(Ln 14 / 52)</v>
      </c>
      <c r="H49" s="38"/>
      <c r="I49" s="69">
        <f>ROUND(+I47/52,4)</f>
        <v>744.7421</v>
      </c>
      <c r="J49" s="38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2:22" ht="15">
      <c r="B50" s="41">
        <f t="shared" si="0"/>
        <v>17</v>
      </c>
      <c r="C50" s="38"/>
      <c r="D50" s="35" t="str">
        <f>"Daily On-Peak Point-to-Point Rate in $/MW - Day"</f>
        <v>Daily On-Peak Point-to-Point Rate in $/MW - Day</v>
      </c>
      <c r="E50" s="42"/>
      <c r="F50" s="42"/>
      <c r="G50" s="43" t="str">
        <f>"(Ln "&amp;B47&amp;" / 260)"</f>
        <v>(Ln 14 / 260)</v>
      </c>
      <c r="H50" s="42"/>
      <c r="I50" s="69">
        <f>ROUND(+I47/260,4)</f>
        <v>148.9484</v>
      </c>
      <c r="J50" s="42"/>
      <c r="K50"/>
      <c r="L50"/>
      <c r="M50"/>
      <c r="N50"/>
      <c r="O50" s="93"/>
      <c r="P50" s="96"/>
      <c r="Q50" s="97"/>
      <c r="R50" s="97"/>
      <c r="S50" s="97"/>
      <c r="T50" s="97"/>
      <c r="U50" s="97"/>
      <c r="V50" s="92"/>
    </row>
    <row r="51" spans="2:22" ht="15">
      <c r="B51" s="41">
        <f t="shared" si="0"/>
        <v>18</v>
      </c>
      <c r="C51" s="38"/>
      <c r="D51" s="35" t="str">
        <f>"Daily Off-Peak Point-to-Point Rate in $/MW - Day"</f>
        <v>Daily Off-Peak Point-to-Point Rate in $/MW - Day</v>
      </c>
      <c r="E51" s="42"/>
      <c r="F51" s="42"/>
      <c r="G51" s="43" t="str">
        <f>"(Ln "&amp;B47&amp;" / 365)"</f>
        <v>(Ln 14 / 365)</v>
      </c>
      <c r="H51" s="42"/>
      <c r="I51" s="69">
        <f>ROUND(+I47/365,4)</f>
        <v>106.1002</v>
      </c>
      <c r="J51" s="42"/>
      <c r="K51"/>
      <c r="L51"/>
      <c r="M51"/>
      <c r="N51"/>
      <c r="O51" s="93"/>
      <c r="P51" s="96"/>
      <c r="Q51" s="97"/>
      <c r="R51" s="97"/>
      <c r="S51" s="97"/>
      <c r="T51" s="97"/>
      <c r="U51" s="97"/>
      <c r="V51" s="92"/>
    </row>
    <row r="52" spans="2:22" ht="15">
      <c r="B52" s="41">
        <f t="shared" si="0"/>
        <v>19</v>
      </c>
      <c r="C52" s="38"/>
      <c r="D52" s="35" t="str">
        <f>"Hourly On-Peak Point-to-Point Rate in $/MW - Hour"</f>
        <v>Hourly On-Peak Point-to-Point Rate in $/MW - Hour</v>
      </c>
      <c r="E52" s="42"/>
      <c r="F52" s="42"/>
      <c r="G52" s="43" t="str">
        <f>"(Ln "&amp;B47&amp;" / 4160)"</f>
        <v>(Ln 14 / 4160)</v>
      </c>
      <c r="H52" s="42"/>
      <c r="I52" s="69">
        <f>ROUND(+I47/4160,4)</f>
        <v>9.3093</v>
      </c>
      <c r="J52" s="42"/>
      <c r="K52"/>
      <c r="L52"/>
      <c r="M52"/>
      <c r="N52"/>
      <c r="O52" s="93"/>
      <c r="P52" s="96"/>
      <c r="Q52" s="97"/>
      <c r="R52" s="97"/>
      <c r="S52" s="97"/>
      <c r="T52" s="97"/>
      <c r="U52" s="97"/>
      <c r="V52" s="92"/>
    </row>
    <row r="53" spans="2:22" ht="15">
      <c r="B53" s="41">
        <f t="shared" si="0"/>
        <v>20</v>
      </c>
      <c r="C53" s="38"/>
      <c r="D53" s="35" t="str">
        <f>"Hourly Off-Peak Point-to-Point Rate in $/MW - Hour"</f>
        <v>Hourly Off-Peak Point-to-Point Rate in $/MW - Hour</v>
      </c>
      <c r="E53" s="42"/>
      <c r="F53" s="42"/>
      <c r="G53" s="43" t="str">
        <f>"(Ln "&amp;B47&amp;" / 8760)"</f>
        <v>(Ln 14 / 8760)</v>
      </c>
      <c r="H53" s="42"/>
      <c r="I53" s="69">
        <f>ROUND(+I47/8760,4)</f>
        <v>4.4208</v>
      </c>
      <c r="J53" s="42"/>
      <c r="K53"/>
      <c r="L53"/>
      <c r="M53"/>
      <c r="N53"/>
      <c r="O53" s="93"/>
      <c r="P53" s="96"/>
      <c r="Q53" s="97"/>
      <c r="R53" s="97"/>
      <c r="S53" s="97"/>
      <c r="T53" s="97"/>
      <c r="U53" s="97"/>
      <c r="V53" s="92"/>
    </row>
    <row r="54" spans="7:29" ht="15">
      <c r="G54" s="44"/>
      <c r="H54" s="4"/>
      <c r="J54" s="4"/>
      <c r="K54"/>
      <c r="L54"/>
      <c r="M54"/>
      <c r="N54"/>
      <c r="O54"/>
      <c r="P54"/>
      <c r="Q54"/>
      <c r="R54"/>
      <c r="S54"/>
      <c r="T54"/>
      <c r="U54"/>
      <c r="V54" s="93"/>
      <c r="W54" s="98"/>
      <c r="X54" s="99"/>
      <c r="Y54" s="99"/>
      <c r="Z54" s="99"/>
      <c r="AA54" s="99"/>
      <c r="AB54" s="99"/>
      <c r="AC54" s="92"/>
    </row>
    <row r="55" spans="1:29" ht="15.75">
      <c r="A55" s="12" t="s">
        <v>21</v>
      </c>
      <c r="B55" s="17" t="s">
        <v>33</v>
      </c>
      <c r="C55" s="15"/>
      <c r="D55" s="6"/>
      <c r="E55" s="15"/>
      <c r="F55" s="6"/>
      <c r="G55" s="8"/>
      <c r="H55" s="6"/>
      <c r="J55" s="6"/>
      <c r="L55" s="6"/>
      <c r="V55" s="92"/>
      <c r="W55" s="92"/>
      <c r="X55" s="92"/>
      <c r="Y55" s="92"/>
      <c r="Z55" s="92"/>
      <c r="AA55" s="92"/>
      <c r="AB55" s="92"/>
      <c r="AC55" s="92"/>
    </row>
    <row r="56" spans="2:27" ht="15">
      <c r="B56" s="45">
        <f>+B53+1</f>
        <v>21</v>
      </c>
      <c r="C56" s="42"/>
      <c r="D56" s="42" t="str">
        <f>"RTEP UPGRADE ATRR W/O INCENTIVES"</f>
        <v>RTEP UPGRADE ATRR W/O INCENTIVES</v>
      </c>
      <c r="G56" s="21" t="str">
        <f>"(Ln "&amp;B24&amp;")"</f>
        <v>(Ln 7)</v>
      </c>
      <c r="H56" s="42"/>
      <c r="I56" s="46">
        <f>SUM(K56,M56,O56,Q56,S56,U56)</f>
        <v>38218652.500433594</v>
      </c>
      <c r="J56" s="42"/>
      <c r="K56" s="47">
        <f>K24</f>
        <v>22018180.706208542</v>
      </c>
      <c r="L56" s="42"/>
      <c r="M56" s="47">
        <f>M24</f>
        <v>5012170.379932776</v>
      </c>
      <c r="N56" s="40"/>
      <c r="O56" s="47">
        <f>O24</f>
        <v>0</v>
      </c>
      <c r="P56" s="40"/>
      <c r="Q56" s="47">
        <f>Q24</f>
        <v>0</v>
      </c>
      <c r="R56" s="40"/>
      <c r="S56" s="47">
        <f>S24</f>
        <v>11070454.610951366</v>
      </c>
      <c r="T56" s="40"/>
      <c r="U56" s="47">
        <f>U24</f>
        <v>117846.80334090827</v>
      </c>
      <c r="Y56"/>
      <c r="AA56"/>
    </row>
    <row r="57" spans="2:21" ht="15">
      <c r="B57" s="45">
        <f>+B56+1</f>
        <v>22</v>
      </c>
      <c r="C57" s="42"/>
      <c r="D57" s="1" t="s">
        <v>37</v>
      </c>
      <c r="G57" s="25" t="str">
        <f>"(Worksheet J)"</f>
        <v>(Worksheet J)</v>
      </c>
      <c r="H57" s="42"/>
      <c r="I57" s="46">
        <f>SUM(K57,M57,O57,Q57,S57,U57)</f>
        <v>0</v>
      </c>
      <c r="J57" s="42"/>
      <c r="K57" s="23">
        <v>0</v>
      </c>
      <c r="L57" s="42"/>
      <c r="M57" s="23">
        <v>0</v>
      </c>
      <c r="N57" s="40"/>
      <c r="O57" s="23">
        <v>0</v>
      </c>
      <c r="P57" s="40"/>
      <c r="Q57" s="23">
        <v>0</v>
      </c>
      <c r="R57" s="40"/>
      <c r="S57" s="23">
        <v>0</v>
      </c>
      <c r="T57" s="40"/>
      <c r="U57" s="23">
        <v>0</v>
      </c>
    </row>
    <row r="58" spans="2:21" ht="15.75" thickBot="1">
      <c r="B58" s="45">
        <f>+B57+1</f>
        <v>23</v>
      </c>
      <c r="C58" s="42"/>
      <c r="D58" s="1" t="s">
        <v>48</v>
      </c>
      <c r="G58" s="21" t="s">
        <v>54</v>
      </c>
      <c r="H58" s="42"/>
      <c r="I58" s="46">
        <f>SUM(K58,M58,O58,Q58,S58,U58)</f>
        <v>-5215531.887741116</v>
      </c>
      <c r="J58" s="38"/>
      <c r="K58" s="103">
        <v>-6723379.514561468</v>
      </c>
      <c r="L58" s="113"/>
      <c r="M58" s="104">
        <v>58332.177076092</v>
      </c>
      <c r="N58" s="46"/>
      <c r="O58" s="104">
        <v>0</v>
      </c>
      <c r="P58" s="46"/>
      <c r="Q58" s="104">
        <v>0</v>
      </c>
      <c r="R58" s="46"/>
      <c r="S58" s="104">
        <v>1456936.3679184706</v>
      </c>
      <c r="T58" s="46"/>
      <c r="U58" s="104">
        <v>-7420.9181742108585</v>
      </c>
    </row>
    <row r="59" spans="2:21" ht="16.5" thickBot="1">
      <c r="B59" s="45">
        <f>+B58+1</f>
        <v>24</v>
      </c>
      <c r="C59" s="42"/>
      <c r="D59" s="67" t="s">
        <v>56</v>
      </c>
      <c r="E59" s="29"/>
      <c r="F59" s="29"/>
      <c r="G59" s="48"/>
      <c r="H59" s="48"/>
      <c r="I59" s="49">
        <f>+I56+I57+I58</f>
        <v>33003120.61269248</v>
      </c>
      <c r="J59" s="42"/>
      <c r="K59" s="50">
        <f>+K56+K57+K58</f>
        <v>15294801.191647075</v>
      </c>
      <c r="L59" s="42"/>
      <c r="M59" s="50">
        <f>+M56+M57+M58</f>
        <v>5070502.557008868</v>
      </c>
      <c r="N59" s="40"/>
      <c r="O59" s="50">
        <f>+O56+O57+O58</f>
        <v>0</v>
      </c>
      <c r="P59" s="40"/>
      <c r="Q59" s="50">
        <f>+Q56+Q57+Q58</f>
        <v>0</v>
      </c>
      <c r="R59" s="40"/>
      <c r="S59" s="50">
        <f>+S56+S57+S58</f>
        <v>12527390.978869837</v>
      </c>
      <c r="T59" s="40"/>
      <c r="U59" s="50">
        <f>+U56+U57+U58</f>
        <v>110425.88516669741</v>
      </c>
    </row>
    <row r="60" spans="2:21" ht="15">
      <c r="B60" s="51"/>
      <c r="C60" s="42"/>
      <c r="D60" s="42"/>
      <c r="E60" s="42"/>
      <c r="F60" s="42"/>
      <c r="G60" s="42"/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1"/>
      <c r="C61" s="42"/>
      <c r="D61" s="42" t="s">
        <v>12</v>
      </c>
      <c r="E61" s="52" t="s">
        <v>12</v>
      </c>
      <c r="F61" s="42"/>
      <c r="G61" s="42"/>
      <c r="H61" s="42"/>
      <c r="I61" s="40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2:21" ht="15">
      <c r="B62" s="51"/>
      <c r="C62" s="42"/>
      <c r="D62" s="42" t="s">
        <v>52</v>
      </c>
      <c r="E62" s="52" t="s">
        <v>12</v>
      </c>
      <c r="F62" s="42"/>
      <c r="G62" s="42"/>
      <c r="H62" s="42"/>
      <c r="I62" s="53"/>
      <c r="J62" s="42"/>
      <c r="K62" s="42"/>
      <c r="L62" s="42"/>
      <c r="M62" s="42"/>
      <c r="N62" s="40"/>
      <c r="O62" s="42"/>
      <c r="P62" s="40"/>
      <c r="Q62" s="42"/>
      <c r="R62" s="40"/>
      <c r="S62" s="42"/>
      <c r="T62" s="40"/>
      <c r="U62" s="42"/>
    </row>
    <row r="63" spans="2:21" ht="15">
      <c r="B63" s="51"/>
      <c r="C63" s="42"/>
      <c r="D63" s="42"/>
      <c r="E63" s="42"/>
      <c r="F63" s="42"/>
      <c r="G63" s="54" t="s">
        <v>12</v>
      </c>
      <c r="H63" s="42"/>
      <c r="I63" s="40"/>
      <c r="J63" s="42"/>
      <c r="K63" s="42"/>
      <c r="L63" s="42"/>
      <c r="M63" s="42"/>
      <c r="N63" s="40"/>
      <c r="O63" s="42"/>
      <c r="P63" s="40"/>
      <c r="Q63" s="42"/>
      <c r="R63" s="40"/>
      <c r="S63" s="42"/>
      <c r="T63" s="40"/>
      <c r="U63" s="42"/>
    </row>
    <row r="64" spans="2:21" ht="15">
      <c r="B64" s="55"/>
      <c r="C64" s="56"/>
      <c r="D64" s="56"/>
      <c r="E64" s="56"/>
      <c r="F64" s="56"/>
      <c r="G64" s="56"/>
      <c r="H64" s="56"/>
      <c r="I64" s="40"/>
      <c r="J64" s="56"/>
      <c r="K64" s="56"/>
      <c r="L64" s="56"/>
      <c r="M64" s="56"/>
      <c r="N64" s="40"/>
      <c r="O64" s="56"/>
      <c r="P64" s="40"/>
      <c r="Q64" s="56"/>
      <c r="R64" s="40"/>
      <c r="S64" s="56"/>
      <c r="T64" s="40"/>
      <c r="U64" s="56"/>
    </row>
    <row r="65" spans="2:21" ht="15">
      <c r="B65" s="55"/>
      <c r="C65" s="56"/>
      <c r="D65" s="56"/>
      <c r="E65" s="56"/>
      <c r="F65" s="56"/>
      <c r="G65" s="56"/>
      <c r="H65" s="56"/>
      <c r="I65" s="40"/>
      <c r="J65" s="56"/>
      <c r="K65" s="56"/>
      <c r="L65" s="56"/>
      <c r="M65" s="56"/>
      <c r="N65" s="40"/>
      <c r="O65" s="56"/>
      <c r="P65" s="40"/>
      <c r="Q65" s="56"/>
      <c r="R65" s="40"/>
      <c r="S65" s="56"/>
      <c r="T65" s="40"/>
      <c r="U65" s="56"/>
    </row>
    <row r="66" spans="2:21" ht="15">
      <c r="B66" s="55"/>
      <c r="C66" s="56" t="s">
        <v>12</v>
      </c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5"/>
      <c r="C67" s="56"/>
      <c r="D67" s="56" t="s">
        <v>12</v>
      </c>
      <c r="E67" s="56"/>
      <c r="F67" s="56"/>
      <c r="G67" s="56"/>
      <c r="H67" s="56"/>
      <c r="I67" s="40"/>
      <c r="J67" s="56"/>
      <c r="K67" s="56"/>
      <c r="L67" s="56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5"/>
      <c r="C68" s="56"/>
      <c r="D68" s="56" t="s">
        <v>12</v>
      </c>
      <c r="E68" s="56"/>
      <c r="F68" s="56"/>
      <c r="G68" s="56"/>
      <c r="H68" s="56"/>
      <c r="I68" s="40"/>
      <c r="J68" s="56"/>
      <c r="K68" s="56"/>
      <c r="L68" s="56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5"/>
      <c r="C69" s="56"/>
      <c r="D69" s="56" t="s">
        <v>12</v>
      </c>
      <c r="E69" s="56"/>
      <c r="F69" s="56"/>
      <c r="G69" s="56"/>
      <c r="H69" s="56"/>
      <c r="I69" s="40"/>
      <c r="J69" s="56"/>
      <c r="K69" s="56"/>
      <c r="L69" s="56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5"/>
      <c r="C70" s="56"/>
      <c r="D70" s="56" t="s">
        <v>12</v>
      </c>
      <c r="E70" s="56"/>
      <c r="F70" s="56"/>
      <c r="G70" s="56"/>
      <c r="H70" s="56"/>
      <c r="I70" s="40"/>
      <c r="J70" s="56"/>
      <c r="K70" s="56"/>
      <c r="L70" s="56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 t="s">
        <v>60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 ht="15">
      <c r="B128" s="5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21" ht="15">
      <c r="B129" s="57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2:21" ht="15">
      <c r="B130" s="57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58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 ht="15">
      <c r="B986" s="58"/>
      <c r="C986" s="36"/>
      <c r="D986" s="36"/>
      <c r="E986" s="36"/>
      <c r="F986" s="36"/>
      <c r="G986" s="36"/>
      <c r="H986" s="36"/>
      <c r="J986" s="36"/>
      <c r="K986" s="36"/>
      <c r="L986" s="36"/>
    </row>
    <row r="987" spans="2:12" ht="15">
      <c r="B987" s="58"/>
      <c r="C987" s="36"/>
      <c r="D987" s="36"/>
      <c r="E987" s="36"/>
      <c r="F987" s="36"/>
      <c r="G987" s="36"/>
      <c r="H987" s="36"/>
      <c r="J987" s="36"/>
      <c r="K987" s="36"/>
      <c r="L987" s="36"/>
    </row>
    <row r="988" spans="2:12" ht="15">
      <c r="B988" s="58"/>
      <c r="C988" s="36"/>
      <c r="D988" s="36"/>
      <c r="E988" s="36"/>
      <c r="F988" s="36"/>
      <c r="G988" s="36"/>
      <c r="H988" s="36"/>
      <c r="J988" s="36"/>
      <c r="K988" s="36"/>
      <c r="L988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48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4">
      <selection activeCell="I26" sqref="I26:S26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2020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5">
      <c r="A4" s="133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1" ht="15">
      <c r="A5" s="132" t="str">
        <f>"For rates effective January 1, 2020"</f>
        <v>For rates effective January 1, 2020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32513130.864673663</v>
      </c>
      <c r="H15" s="74"/>
      <c r="I15" s="34">
        <v>13781000</v>
      </c>
      <c r="J15" s="34"/>
      <c r="K15" s="34">
        <v>8073000</v>
      </c>
      <c r="L15" s="19"/>
      <c r="M15" s="34">
        <v>2696000</v>
      </c>
      <c r="N15" s="19"/>
      <c r="O15" s="34">
        <v>55130.86467366411</v>
      </c>
      <c r="P15" s="19"/>
      <c r="Q15" s="34">
        <v>6478000.000000001</v>
      </c>
      <c r="R15" s="19"/>
      <c r="S15" s="34">
        <v>1430000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13817000</v>
      </c>
      <c r="H16" s="74"/>
      <c r="I16" s="34">
        <v>6734000</v>
      </c>
      <c r="J16" s="34"/>
      <c r="K16" s="34">
        <v>4968000</v>
      </c>
      <c r="L16" s="19"/>
      <c r="M16" s="34">
        <v>1233000</v>
      </c>
      <c r="N16" s="19"/>
      <c r="O16" s="34">
        <v>0</v>
      </c>
      <c r="P16" s="19"/>
      <c r="Q16" s="34">
        <v>0</v>
      </c>
      <c r="R16" s="19"/>
      <c r="S16" s="34">
        <v>882000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3866000</v>
      </c>
      <c r="H17" s="74"/>
      <c r="I17" s="59">
        <v>1890000</v>
      </c>
      <c r="J17" s="34"/>
      <c r="K17" s="59">
        <v>1383000</v>
      </c>
      <c r="L17" s="19"/>
      <c r="M17" s="59">
        <v>348000</v>
      </c>
      <c r="N17" s="19"/>
      <c r="O17" s="59">
        <v>0</v>
      </c>
      <c r="P17" s="19"/>
      <c r="Q17" s="59">
        <v>0</v>
      </c>
      <c r="R17" s="19"/>
      <c r="S17" s="59">
        <v>245000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14830130.864673663</v>
      </c>
      <c r="H18" s="74"/>
      <c r="I18" s="34">
        <f>+I15-I16-I17</f>
        <v>5157000</v>
      </c>
      <c r="J18" s="34"/>
      <c r="K18" s="75">
        <f>+K15-K16-K17</f>
        <v>1722000</v>
      </c>
      <c r="L18" s="19"/>
      <c r="M18" s="34">
        <f>+M15-M16-M17</f>
        <v>1115000</v>
      </c>
      <c r="N18" s="19"/>
      <c r="O18" s="34">
        <f>+O15-O16-O17</f>
        <v>55130.86467366411</v>
      </c>
      <c r="P18" s="19"/>
      <c r="Q18" s="75">
        <f>+Q15-Q16-Q17</f>
        <v>6478000.000000001</v>
      </c>
      <c r="R18" s="19"/>
      <c r="S18" s="34">
        <f>+S15-S16-S17</f>
        <v>303000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3">
        <f>SUM(I20,K20,M20,O20,Q20,S20)</f>
        <v>487682.0457599997</v>
      </c>
      <c r="H20" s="124"/>
      <c r="I20" s="125">
        <v>149996.078327198</v>
      </c>
      <c r="J20" s="126"/>
      <c r="K20" s="125">
        <v>75992.60325941499</v>
      </c>
      <c r="L20" s="127"/>
      <c r="M20" s="125">
        <v>36970.07827774059</v>
      </c>
      <c r="N20" s="127"/>
      <c r="O20" s="125">
        <v>1534.7215128986397</v>
      </c>
      <c r="P20" s="127"/>
      <c r="Q20" s="125">
        <v>218771.90519634495</v>
      </c>
      <c r="R20" s="127"/>
      <c r="S20" s="125">
        <v>4416.659186402544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14342448.818913667</v>
      </c>
      <c r="H22" s="22"/>
      <c r="I22" s="70">
        <f>I18-I20</f>
        <v>5007003.921672802</v>
      </c>
      <c r="J22" s="77"/>
      <c r="K22" s="82">
        <f>K18-K20</f>
        <v>1646007.396740585</v>
      </c>
      <c r="L22" s="19"/>
      <c r="M22" s="70">
        <f>M18-M20</f>
        <v>1078029.9217222594</v>
      </c>
      <c r="N22" s="19"/>
      <c r="O22" s="70">
        <f>O18-O20</f>
        <v>53596.14316076547</v>
      </c>
      <c r="P22" s="19"/>
      <c r="Q22" s="82">
        <f>Q18-Q20</f>
        <v>6259228.0948036555</v>
      </c>
      <c r="R22" s="19"/>
      <c r="S22" s="70">
        <f>S18-S20</f>
        <v>298583.34081359743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(2019) ACTUAL ARR</v>
      </c>
      <c r="E24" s="25" t="str">
        <f>"Input from "&amp;T1-1&amp;" True-up"</f>
        <v>Input from 2019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(2019)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-10298009.256301468</v>
      </c>
      <c r="H26" s="22"/>
      <c r="I26" s="82">
        <v>-2495570.7298587603</v>
      </c>
      <c r="J26" s="77"/>
      <c r="K26" s="82">
        <v>-1250548.5786489428</v>
      </c>
      <c r="L26" s="19"/>
      <c r="M26" s="82">
        <v>-685594.4098309872</v>
      </c>
      <c r="N26" s="19"/>
      <c r="O26" s="82">
        <v>-39583.022708372686</v>
      </c>
      <c r="P26" s="19"/>
      <c r="Q26" s="82">
        <v>-5548328.548306345</v>
      </c>
      <c r="R26" s="19"/>
      <c r="S26" s="82">
        <v>-278383.96694806055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4044439.562612197</v>
      </c>
      <c r="H30" s="74"/>
      <c r="I30" s="33">
        <f>+I22+I26+I28</f>
        <v>2511433.191814042</v>
      </c>
      <c r="J30" s="34"/>
      <c r="K30" s="73">
        <f>+K22+K26+K28</f>
        <v>395458.81809164234</v>
      </c>
      <c r="L30" s="19"/>
      <c r="M30" s="33">
        <f>+M22+M26+M28</f>
        <v>392435.51189127215</v>
      </c>
      <c r="N30" s="19"/>
      <c r="O30" s="33">
        <f>+O22+O26+O28</f>
        <v>14013.12045239278</v>
      </c>
      <c r="P30" s="19"/>
      <c r="Q30" s="73">
        <f>+Q22+Q26+Q28</f>
        <v>710899.5464973105</v>
      </c>
      <c r="R30" s="19"/>
      <c r="S30" s="33">
        <f>+S22+S26+S28</f>
        <v>20199.37386553688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2020 AEP East Zone Annual MWh</v>
      </c>
      <c r="E33" s="8"/>
      <c r="F33" s="21"/>
      <c r="G33" s="129">
        <v>133818000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0.030223434535056545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PTRR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2019-10-31T14:52:48Z</cp:lastPrinted>
  <dcterms:created xsi:type="dcterms:W3CDTF">2008-07-20T22:34:28Z</dcterms:created>
  <dcterms:modified xsi:type="dcterms:W3CDTF">2019-10-31T17:34:08Z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52b81a68-9400-4490-a0ae-ec0316f9b1b2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