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OPCo East FR\PJM 2022 Forecasted (PTRR)\Sent to PJM\"/>
    </mc:Choice>
  </mc:AlternateContent>
  <bookViews>
    <workbookView xWindow="9105" yWindow="465" windowWidth="9135" windowHeight="10080" tabRatio="848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Rates'!$A$1:$U$57</definedName>
    <definedName name="Zip">#REF!</definedName>
  </definedNames>
  <calcPr calcId="162913"/>
  <customWorkbookViews>
    <customWorkbookView name="American Electric Power® - Personal View" guid="{59817C1F-0731-403A-A1D5-70099C98272D}" mergeInterval="0" personalView="1" maximized="1" windowWidth="1276" windowHeight="825" tabRatio="941" activeSheetId="1"/>
    <customWorkbookView name="AEP - Personal View" guid="{51F5E52F-0ED7-45F8-995B-A008B15FCDF4}" mergeInterval="0" personalView="1" maximized="1" windowWidth="1020" windowHeight="553" tabRatio="941" activeSheetId="1"/>
  </customWorkbookViews>
</workbook>
</file>

<file path=xl/calcChain.xml><?xml version="1.0" encoding="utf-8"?>
<calcChain xmlns="http://schemas.openxmlformats.org/spreadsheetml/2006/main">
  <c r="O40" i="1" l="1"/>
  <c r="M40" i="1"/>
  <c r="K40" i="1"/>
  <c r="U40" i="1"/>
  <c r="S40" i="1"/>
  <c r="Q40" i="1"/>
  <c r="I38" i="1"/>
  <c r="A5" i="1" l="1"/>
  <c r="G17" i="2" l="1"/>
  <c r="I36" i="1"/>
  <c r="O24" i="1"/>
  <c r="O54" i="1" s="1"/>
  <c r="O57" i="1" s="1"/>
  <c r="G16" i="2"/>
  <c r="A5" i="2"/>
  <c r="D43" i="1"/>
  <c r="D33" i="2"/>
  <c r="I33" i="1"/>
  <c r="E24" i="2"/>
  <c r="I55" i="1"/>
  <c r="I28" i="1"/>
  <c r="I23" i="1"/>
  <c r="B17" i="1"/>
  <c r="B19" i="1"/>
  <c r="B21" i="1"/>
  <c r="B22" i="1"/>
  <c r="B23" i="1" s="1"/>
  <c r="B24" i="1" s="1"/>
  <c r="G32" i="1"/>
  <c r="D32" i="1"/>
  <c r="D33" i="1"/>
  <c r="D51" i="1"/>
  <c r="D50" i="1"/>
  <c r="D49" i="1"/>
  <c r="D48" i="1"/>
  <c r="D47" i="1"/>
  <c r="D46" i="1"/>
  <c r="D45" i="1"/>
  <c r="B16" i="2"/>
  <c r="D24" i="2"/>
  <c r="D25" i="2"/>
  <c r="G23" i="1"/>
  <c r="G28" i="1"/>
  <c r="D54" i="1"/>
  <c r="G55" i="1"/>
  <c r="G25" i="2"/>
  <c r="G24" i="2"/>
  <c r="I32" i="1"/>
  <c r="B17" i="2"/>
  <c r="B18" i="2"/>
  <c r="B20" i="2"/>
  <c r="B22" i="2"/>
  <c r="E18" i="2"/>
  <c r="E22" i="2"/>
  <c r="B26" i="2"/>
  <c r="B24" i="2"/>
  <c r="B25" i="2"/>
  <c r="B30" i="2"/>
  <c r="B28" i="2"/>
  <c r="B33" i="2"/>
  <c r="B35" i="2"/>
  <c r="E35" i="2"/>
  <c r="M18" i="2"/>
  <c r="M22" i="2" s="1"/>
  <c r="M30" i="2" s="1"/>
  <c r="S18" i="2"/>
  <c r="K18" i="2"/>
  <c r="I18" i="2"/>
  <c r="Q19" i="1"/>
  <c r="M19" i="1"/>
  <c r="O19" i="1"/>
  <c r="U19" i="1"/>
  <c r="K19" i="1"/>
  <c r="I34" i="1"/>
  <c r="U24" i="1"/>
  <c r="G26" i="2"/>
  <c r="K24" i="1"/>
  <c r="K54" i="1" s="1"/>
  <c r="K57" i="1" s="1"/>
  <c r="M24" i="1"/>
  <c r="M54" i="1" s="1"/>
  <c r="M57" i="1" s="1"/>
  <c r="Q24" i="1"/>
  <c r="Q54" i="1" s="1"/>
  <c r="Q57" i="1" s="1"/>
  <c r="O18" i="2"/>
  <c r="O22" i="2" s="1"/>
  <c r="O30" i="2" s="1"/>
  <c r="I17" i="1"/>
  <c r="Q18" i="2"/>
  <c r="S19" i="1"/>
  <c r="I15" i="1"/>
  <c r="I56" i="1"/>
  <c r="S24" i="1"/>
  <c r="S54" i="1" s="1"/>
  <c r="S57" i="1" s="1"/>
  <c r="I22" i="1"/>
  <c r="G15" i="2"/>
  <c r="B26" i="1" l="1"/>
  <c r="G54" i="1"/>
  <c r="G26" i="1"/>
  <c r="I24" i="1"/>
  <c r="U26" i="1"/>
  <c r="U30" i="1" s="1"/>
  <c r="O26" i="1"/>
  <c r="O30" i="1" s="1"/>
  <c r="S26" i="1"/>
  <c r="S30" i="1" s="1"/>
  <c r="M26" i="1"/>
  <c r="M30" i="1" s="1"/>
  <c r="K26" i="1"/>
  <c r="K30" i="1" s="1"/>
  <c r="G18" i="2"/>
  <c r="U54" i="1"/>
  <c r="U57" i="1" s="1"/>
  <c r="Q26" i="1"/>
  <c r="Q30" i="1" s="1"/>
  <c r="S22" i="2"/>
  <c r="S30" i="2" s="1"/>
  <c r="Q22" i="2"/>
  <c r="Q30" i="2" s="1"/>
  <c r="I19" i="1"/>
  <c r="K22" i="2"/>
  <c r="K30" i="2" s="1"/>
  <c r="I22" i="2"/>
  <c r="I30" i="2" s="1"/>
  <c r="G20" i="2"/>
  <c r="B28" i="1" l="1"/>
  <c r="B30" i="1" s="1"/>
  <c r="I26" i="1"/>
  <c r="I30" i="1" s="1"/>
  <c r="G30" i="2"/>
  <c r="G35" i="2" s="1"/>
  <c r="I54" i="1"/>
  <c r="I57" i="1" s="1"/>
  <c r="G22" i="2"/>
  <c r="B32" i="1" l="1"/>
  <c r="B33" i="1" s="1"/>
  <c r="B34" i="1"/>
  <c r="B40" i="1" s="1"/>
  <c r="G30" i="1"/>
  <c r="I40" i="1"/>
  <c r="I45" i="1" s="1"/>
  <c r="B43" i="1" l="1"/>
  <c r="B45" i="1" s="1"/>
  <c r="G40" i="1"/>
  <c r="I46" i="1"/>
  <c r="I51" i="1"/>
  <c r="I47" i="1"/>
  <c r="I50" i="1"/>
  <c r="I49" i="1"/>
  <c r="I48" i="1"/>
  <c r="B46" i="1" l="1"/>
  <c r="B47" i="1" s="1"/>
  <c r="B48" i="1" s="1"/>
  <c r="B49" i="1" s="1"/>
  <c r="B50" i="1" s="1"/>
  <c r="B51" i="1" s="1"/>
  <c r="B54" i="1" s="1"/>
  <c r="B55" i="1" s="1"/>
  <c r="B56" i="1" s="1"/>
  <c r="B57" i="1" s="1"/>
  <c r="G49" i="1"/>
  <c r="G51" i="1"/>
  <c r="G48" i="1"/>
  <c r="G50" i="1"/>
  <c r="G47" i="1"/>
  <c r="G46" i="1"/>
  <c r="G45" i="1"/>
</calcChain>
</file>

<file path=xl/sharedStrings.xml><?xml version="1.0" encoding="utf-8"?>
<sst xmlns="http://schemas.openxmlformats.org/spreadsheetml/2006/main" count="118" uniqueCount="65">
  <si>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</si>
  <si>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</si>
  <si>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</si>
  <si>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</si>
  <si>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</si>
  <si>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</si>
  <si>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</si>
  <si>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</si>
  <si>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</si>
  <si>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</si>
  <si>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</si>
  <si>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</si>
  <si>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</si>
  <si>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</si>
  <si>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</si>
  <si>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</si>
  <si>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</si>
  <si>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</si>
  <si>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</si>
  <si>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</si>
  <si>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</si>
  <si>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</si>
  <si>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</si>
  <si>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</si>
  <si>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</si>
  <si>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</si>
  <si>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</si>
  <si>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</si>
  <si>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</si>
  <si>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</si>
  <si>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</si>
  <si>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</si>
  <si>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</si>
  <si>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</si>
  <si>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</si>
  <si>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</si>
  <si>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</si>
  <si>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</si>
  <si>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</si>
  <si>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</si>
  <si>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</si>
  <si>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</si>
  <si>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</si>
  <si>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</si>
  <si>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</si>
  <si>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</si>
  <si>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</si>
  <si>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</si>
  <si>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</si>
  <si>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</si>
  <si>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</si>
  <si>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</si>
  <si>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</si>
  <si>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</si>
  <si>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</si>
  <si>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</si>
  <si>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</si>
  <si>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</si>
  <si>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</si>
  <si>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</si>
  <si>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</si>
  <si>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Forecasted Costs Through December 31, 2022</t>
  </si>
  <si>
    <t>PRIOR YEAR TRUE-UP (2020 including interest)</t>
  </si>
  <si>
    <t>11b</t>
  </si>
  <si>
    <t>Adjusments from prior Annual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</si>
</sst>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3">
    <font>
      <sz val="10"/>
      <name val="Arial"/>
    </font>
    <font>
      <sz val="10"/>
      <name val="Arial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29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986"/>
  <sheetViews>
    <sheetView tabSelected="1" zoomScale="85" zoomScaleNormal="85" workbookViewId="0">
      <selection activeCell="B1" sqref="B1"/>
    </sheetView>
  </sheetViews>
  <sheetFormatPr defaultColWidth="11.42578125" defaultRowHeight="15"/>
  <cols>
    <col min="1" max="1" width="4.140625" style="1" customWidth="1"/>
    <col min="2" max="2" width="5.85546875" style="26" bestFit="1" customWidth="1"/>
    <col min="3" max="3" width="2" style="1" customWidth="1"/>
    <col min="4" max="4" width="62.5703125" style="1" customWidth="1"/>
    <col min="5" max="5" width="18.85546875" style="1" customWidth="1"/>
    <col min="6" max="6" width="8.5703125" style="1" customWidth="1"/>
    <col min="7" max="7" width="18.5703125" style="1" customWidth="1"/>
    <col min="8" max="8" width="4.42578125" style="1" customWidth="1"/>
    <col min="9" max="9" width="20.85546875" style="1" customWidth="1"/>
    <col min="10" max="10" width="3.140625" style="1" customWidth="1"/>
    <col min="11" max="11" width="18.42578125" style="1" bestFit="1" customWidth="1"/>
    <col min="12" max="12" width="3.42578125" style="1" customWidth="1"/>
    <col min="13" max="13" width="16" style="1" bestFit="1" customWidth="1"/>
    <col min="14" max="14" width="3.85546875" style="1" customWidth="1"/>
    <col min="15" max="15" width="16.5703125" style="1" bestFit="1" customWidth="1"/>
    <col min="16" max="16" width="4.85546875" style="1" customWidth="1"/>
    <col min="17" max="17" width="15.85546875" style="1" bestFit="1" customWidth="1"/>
    <col min="18" max="18" width="4.140625" style="1" customWidth="1"/>
    <col min="19" max="19" width="16.5703125" style="1" bestFit="1" customWidth="1"/>
    <col min="20" max="20" width="3.42578125" style="1" customWidth="1"/>
    <col min="21" max="21" width="16.5703125" style="1" customWidth="1"/>
    <col min="22" max="23" width="11.42578125" style="1" customWidth="1"/>
    <col min="24" max="24" width="11.140625" style="1" bestFit="1" customWidth="1"/>
    <col min="25" max="25" width="9.85546875" style="1" bestFit="1" customWidth="1"/>
    <col min="26" max="26" width="10.5703125" style="1" bestFit="1" customWidth="1"/>
    <col min="27" max="27" width="10.85546875" style="1" bestFit="1" customWidth="1"/>
    <col min="28" max="28" width="10.42578125" style="1" bestFit="1" customWidth="1"/>
    <col min="29" max="16384" width="11.42578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2022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>
      <c r="A4" s="127" t="s">
        <v>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>
      <c r="A5" s="126" t="str">
        <f>"For rates effective January 1, 2022"</f>
        <v>For rates effective January 1, 2022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128" t="s">
        <v>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 ht="15.75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 ht="15.75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.5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 ht="15.75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 ht="15.75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1127299593.2442932</v>
      </c>
      <c r="J15" s="20"/>
      <c r="K15" s="101">
        <v>457333004.61645842</v>
      </c>
      <c r="L15" s="85"/>
      <c r="M15" s="84">
        <v>179464475.06968674</v>
      </c>
      <c r="N15" s="86"/>
      <c r="O15" s="84">
        <v>83044764.443751693</v>
      </c>
      <c r="P15" s="86"/>
      <c r="Q15" s="84">
        <v>6334868.8672743365</v>
      </c>
      <c r="R15" s="86"/>
      <c r="S15" s="84">
        <v>386169085.34005272</v>
      </c>
      <c r="T15" s="86"/>
      <c r="U15" s="84">
        <v>14953394.907069221</v>
      </c>
    </row>
    <row r="16" spans="1:22" ht="15.75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 ht="15.75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28867000</v>
      </c>
      <c r="J17" s="20"/>
      <c r="K17" s="84">
        <v>6252000</v>
      </c>
      <c r="L17" s="85"/>
      <c r="M17" s="84">
        <v>4410000</v>
      </c>
      <c r="N17" s="86"/>
      <c r="O17" s="84">
        <v>364000</v>
      </c>
      <c r="P17" s="86"/>
      <c r="Q17" s="84">
        <v>165000</v>
      </c>
      <c r="R17" s="86"/>
      <c r="S17" s="84">
        <v>13218000</v>
      </c>
      <c r="T17" s="86"/>
      <c r="U17" s="84">
        <v>4458000</v>
      </c>
    </row>
    <row r="18" spans="1:21" ht="15.75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4" t="s">
        <v>9</v>
      </c>
      <c r="E19" s="125"/>
      <c r="F19" s="21"/>
      <c r="G19" s="8" t="s">
        <v>47</v>
      </c>
      <c r="H19" s="4"/>
      <c r="I19" s="19">
        <f>SUM(K19,M19,O19,Q19,S19,U19)</f>
        <v>1098432593.2442932</v>
      </c>
      <c r="J19" s="22"/>
      <c r="K19" s="22">
        <f>+K15-K17</f>
        <v>451081004.61645842</v>
      </c>
      <c r="L19" s="22"/>
      <c r="M19" s="22">
        <f>+M15-M17</f>
        <v>175054475.06968674</v>
      </c>
      <c r="N19" s="19"/>
      <c r="O19" s="22">
        <f>+O15-O17</f>
        <v>82680764.443751693</v>
      </c>
      <c r="P19" s="19"/>
      <c r="Q19" s="22">
        <f>+Q15-Q17</f>
        <v>6169868.8672743365</v>
      </c>
      <c r="R19" s="19"/>
      <c r="S19" s="72">
        <f>+S15-S17</f>
        <v>372951085.34005272</v>
      </c>
      <c r="T19" s="19"/>
      <c r="U19" s="22">
        <f>+U15-U17</f>
        <v>10495394.907069221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41500451.910747655</v>
      </c>
      <c r="J22" s="111"/>
      <c r="K22" s="112">
        <v>26695952.20963683</v>
      </c>
      <c r="L22" s="113"/>
      <c r="M22" s="112">
        <v>5322411.259465049</v>
      </c>
      <c r="N22" s="112"/>
      <c r="O22" s="112">
        <v>0</v>
      </c>
      <c r="P22" s="112"/>
      <c r="Q22" s="112">
        <v>0</v>
      </c>
      <c r="R22" s="112"/>
      <c r="S22" s="112">
        <v>9365691.4445850383</v>
      </c>
      <c r="T22" s="112"/>
      <c r="U22" s="112">
        <v>116396.99706073492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41500451.910747655</v>
      </c>
      <c r="J24" s="111"/>
      <c r="K24" s="116">
        <f>+K23+K22</f>
        <v>26695952.20963683</v>
      </c>
      <c r="L24" s="116"/>
      <c r="M24" s="116">
        <f>+M23+M22</f>
        <v>5322411.259465049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9365691.4445850383</v>
      </c>
      <c r="T24" s="110"/>
      <c r="U24" s="116">
        <f>+U23+U22</f>
        <v>116396.99706073492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1056932141.3335454</v>
      </c>
      <c r="J26" s="22"/>
      <c r="K26" s="77">
        <f>+K19-K24</f>
        <v>424385052.40682161</v>
      </c>
      <c r="L26" s="77"/>
      <c r="M26" s="77">
        <f>+M19-M24</f>
        <v>169732063.8102217</v>
      </c>
      <c r="N26" s="19"/>
      <c r="O26" s="77">
        <f>+O19-O24</f>
        <v>82680764.443751693</v>
      </c>
      <c r="P26" s="19"/>
      <c r="Q26" s="77">
        <f>+Q19-Q24</f>
        <v>6169868.8672743365</v>
      </c>
      <c r="R26" s="19"/>
      <c r="S26" s="78">
        <f>+S19-S24</f>
        <v>363585393.8954677</v>
      </c>
      <c r="T26" s="19"/>
      <c r="U26" s="77">
        <f>+U19-U24</f>
        <v>10378997.910008486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1056932141.3335454</v>
      </c>
      <c r="J30" s="22"/>
      <c r="K30" s="77">
        <f>+K26+K28</f>
        <v>424385052.40682161</v>
      </c>
      <c r="L30" s="77"/>
      <c r="M30" s="78">
        <f>+M26+M28</f>
        <v>169732063.8102217</v>
      </c>
      <c r="N30" s="19"/>
      <c r="O30" s="77">
        <f>+O26+O28</f>
        <v>82680764.443751693</v>
      </c>
      <c r="P30" s="19"/>
      <c r="Q30" s="77">
        <f>+Q26+Q28</f>
        <v>6169868.8672743365</v>
      </c>
      <c r="R30" s="19"/>
      <c r="S30" s="78">
        <f>+S26+S28</f>
        <v>363585393.8954677</v>
      </c>
      <c r="T30" s="19"/>
      <c r="U30" s="77">
        <f>+U26+U28</f>
        <v>10378997.910008486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(2021) ACTUAL ATRR</v>
      </c>
      <c r="E32" s="6"/>
      <c r="F32" s="21"/>
      <c r="G32" s="25" t="str">
        <f>"Input from "&amp;V1-1&amp;" True-up"</f>
        <v>Input from 2021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(2021)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62</v>
      </c>
      <c r="E34" s="6"/>
      <c r="F34" s="21"/>
      <c r="G34" s="21" t="s">
        <v>54</v>
      </c>
      <c r="H34" s="4"/>
      <c r="I34" s="19">
        <f>SUM(K34,M34,O34,Q34,S34,U34)</f>
        <v>52794055.13150508</v>
      </c>
      <c r="J34" s="108"/>
      <c r="K34" s="108">
        <v>7949400.7081772191</v>
      </c>
      <c r="L34" s="108"/>
      <c r="M34" s="108">
        <v>6143375.9660644792</v>
      </c>
      <c r="N34" s="108"/>
      <c r="O34" s="108">
        <v>2863467.4110335819</v>
      </c>
      <c r="P34" s="108"/>
      <c r="Q34" s="108">
        <v>-901487.05449314637</v>
      </c>
      <c r="R34" s="108"/>
      <c r="S34" s="108">
        <v>36311543.874245487</v>
      </c>
      <c r="T34" s="108"/>
      <c r="U34" s="108">
        <v>427754.22647746053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70">
        <f>S36</f>
        <v>6097445</v>
      </c>
      <c r="J36" s="22"/>
      <c r="K36" s="77"/>
      <c r="L36" s="77"/>
      <c r="M36" s="78"/>
      <c r="N36" s="19"/>
      <c r="O36" s="77"/>
      <c r="P36" s="19"/>
      <c r="Q36" s="77"/>
      <c r="R36" s="19"/>
      <c r="S36" s="78">
        <v>6097445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>
      <c r="B38" s="118" t="s">
        <v>63</v>
      </c>
      <c r="D38" s="18" t="s">
        <v>64</v>
      </c>
      <c r="E38" s="6"/>
      <c r="F38" s="21"/>
      <c r="G38" s="25"/>
      <c r="H38" s="4"/>
      <c r="I38" s="19">
        <f>SUM(K38,M38,O38,Q38,S38,U38)</f>
        <v>-3022450.0706063434</v>
      </c>
      <c r="J38" s="22"/>
      <c r="K38" s="77"/>
      <c r="L38" s="77"/>
      <c r="M38" s="78"/>
      <c r="N38" s="19"/>
      <c r="O38" s="77">
        <v>-21250.070606343448</v>
      </c>
      <c r="P38" s="19"/>
      <c r="Q38" s="77"/>
      <c r="R38" s="19"/>
      <c r="S38" s="78">
        <v>-3001200</v>
      </c>
      <c r="T38" s="19"/>
      <c r="U38" s="77"/>
      <c r="V38" s="90"/>
      <c r="W38" s="90"/>
      <c r="X38" s="90"/>
      <c r="Y38" s="90"/>
      <c r="Z38" s="90"/>
      <c r="AA38" s="90"/>
      <c r="AB38" s="90"/>
      <c r="AC38" s="90"/>
    </row>
    <row r="39" spans="1:29" ht="15" customHeight="1" thickBot="1">
      <c r="B39" s="118"/>
      <c r="D39" s="18"/>
      <c r="E39" s="6"/>
      <c r="F39" s="21"/>
      <c r="G39" s="25"/>
      <c r="H39" s="4"/>
      <c r="I39" s="70"/>
      <c r="J39" s="22"/>
      <c r="K39" s="77"/>
      <c r="L39" s="77"/>
      <c r="M39" s="78"/>
      <c r="N39" s="19"/>
      <c r="O39" s="77"/>
      <c r="P39" s="19"/>
      <c r="Q39" s="77"/>
      <c r="R39" s="19"/>
      <c r="S39" s="78"/>
      <c r="T39" s="19"/>
      <c r="U39" s="77"/>
      <c r="V39" s="90"/>
      <c r="W39" s="90"/>
      <c r="X39" s="90"/>
      <c r="Y39" s="90"/>
      <c r="Z39" s="90"/>
      <c r="AA39" s="90"/>
      <c r="AB39" s="90"/>
      <c r="AC39" s="90"/>
    </row>
    <row r="40" spans="1:29" ht="16.5" thickBot="1">
      <c r="B40" s="7">
        <f>+B34+1</f>
        <v>12</v>
      </c>
      <c r="C40" s="8"/>
      <c r="D40" s="27" t="s">
        <v>55</v>
      </c>
      <c r="E40" s="28"/>
      <c r="F40" s="29"/>
      <c r="G40" s="106" t="str">
        <f>"(Ln "&amp;B30&amp;" + Ln "&amp;B34&amp;")"</f>
        <v>(Ln 10 + Ln 11)</v>
      </c>
      <c r="H40" s="31"/>
      <c r="I40" s="32">
        <f>+I30+I34+I36+I38</f>
        <v>1112801191.3944442</v>
      </c>
      <c r="J40" s="22"/>
      <c r="K40" s="32">
        <f>+K30+K34+K36+K38</f>
        <v>432334453.11499882</v>
      </c>
      <c r="L40" s="34"/>
      <c r="M40" s="32">
        <f>+M30+M34+M36+M38</f>
        <v>175875439.77628618</v>
      </c>
      <c r="N40" s="19"/>
      <c r="O40" s="32">
        <f>+O30+O34+O36+O38</f>
        <v>85522981.784178942</v>
      </c>
      <c r="P40" s="19"/>
      <c r="Q40" s="32">
        <f>+Q30+Q34+Q36+Q38</f>
        <v>5268381.8127811905</v>
      </c>
      <c r="R40" s="19"/>
      <c r="S40" s="32">
        <f>+S30+S34+S36+S38</f>
        <v>402993182.76971316</v>
      </c>
      <c r="T40" s="19"/>
      <c r="U40" s="32">
        <f>+U30+U34+U36+U38</f>
        <v>10806752.136485947</v>
      </c>
      <c r="V40" s="90"/>
      <c r="W40" s="92"/>
      <c r="X40" s="93"/>
      <c r="Y40" s="93"/>
      <c r="Z40" s="93"/>
      <c r="AA40" s="93"/>
      <c r="AB40" s="93"/>
      <c r="AC40" s="90"/>
    </row>
    <row r="41" spans="1:29">
      <c r="B41" s="7"/>
      <c r="C41" s="8"/>
      <c r="D41" s="18"/>
      <c r="E41" s="6"/>
      <c r="G41" s="21"/>
      <c r="H41" s="4"/>
      <c r="I41" s="34"/>
      <c r="J41" s="4"/>
      <c r="L41" s="34"/>
      <c r="N41" s="34"/>
      <c r="O41" s="90"/>
      <c r="P41" s="92"/>
      <c r="Q41" s="93"/>
      <c r="R41" s="93"/>
      <c r="S41" s="93"/>
      <c r="T41" s="93"/>
      <c r="U41" s="93"/>
      <c r="V41" s="90"/>
    </row>
    <row r="42" spans="1:29" ht="15.75">
      <c r="A42" s="12" t="s">
        <v>18</v>
      </c>
      <c r="B42" s="17" t="s">
        <v>19</v>
      </c>
      <c r="C42" s="15"/>
      <c r="D42" s="6"/>
      <c r="E42" s="107" t="s">
        <v>12</v>
      </c>
      <c r="F42" s="6"/>
      <c r="G42" s="6"/>
      <c r="H42" s="6"/>
      <c r="I42" s="34"/>
      <c r="J42" s="6"/>
      <c r="K42" s="97"/>
      <c r="L42" s="96"/>
      <c r="M42" s="97"/>
      <c r="N42" s="96"/>
      <c r="O42" s="90"/>
      <c r="P42" s="92"/>
      <c r="Q42" s="93"/>
      <c r="R42" s="93"/>
      <c r="S42" s="93"/>
      <c r="T42" s="93"/>
      <c r="U42" s="93"/>
      <c r="V42" s="90"/>
    </row>
    <row r="43" spans="1:29">
      <c r="B43" s="7">
        <f>+B40+1</f>
        <v>13</v>
      </c>
      <c r="C43" s="8"/>
      <c r="D43" s="35" t="str">
        <f>""&amp;V1&amp;" AEP East Zone Network Service Peak Load (1 CP)"</f>
        <v>2022 AEP East Zone Network Service Peak Load (1 CP)</v>
      </c>
      <c r="E43" s="6"/>
      <c r="F43" s="21"/>
      <c r="G43" s="25"/>
      <c r="H43" s="4"/>
      <c r="I43" s="119">
        <v>21944.6</v>
      </c>
      <c r="J43" s="4" t="s">
        <v>20</v>
      </c>
      <c r="L43" s="22"/>
      <c r="N43" s="22"/>
      <c r="O43" s="90"/>
      <c r="P43" s="92"/>
      <c r="Q43" s="93"/>
      <c r="R43" s="93"/>
      <c r="S43" s="93"/>
      <c r="T43" s="93"/>
      <c r="U43" s="93"/>
      <c r="V43" s="90"/>
    </row>
    <row r="44" spans="1:29">
      <c r="A44" s="36"/>
      <c r="B44" s="37"/>
      <c r="C44" s="38"/>
      <c r="D44" s="35"/>
      <c r="E44"/>
      <c r="F44"/>
      <c r="G44" s="39"/>
      <c r="H44"/>
      <c r="I44" s="40"/>
      <c r="J44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>+B43+1</f>
        <v>14</v>
      </c>
      <c r="C45" s="38"/>
      <c r="D45" s="35" t="str">
        <f>"Annual Point-to-Point Rate in $/MW - Year"</f>
        <v>Annual Point-to-Point Rate in $/MW - Year</v>
      </c>
      <c r="E45" s="42"/>
      <c r="F45" s="42"/>
      <c r="G45" s="43" t="str">
        <f>"(Ln "&amp;B40&amp;" / Ln "&amp;B43&amp;")"</f>
        <v>(Ln 12 / Ln 13)</v>
      </c>
      <c r="H45" s="42"/>
      <c r="I45" s="69">
        <f>ROUND(+I40/I43,4)</f>
        <v>50709.568200000002</v>
      </c>
      <c r="J45" s="42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A46" s="36"/>
      <c r="B46" s="41">
        <f t="shared" ref="B46:B51" si="0">+B45+1</f>
        <v>15</v>
      </c>
      <c r="C46" s="38"/>
      <c r="D46" s="35" t="str">
        <f>"Monthly Point-to-Point Rate in $/MW - Month"</f>
        <v>Monthly Point-to-Point Rate in $/MW - Month</v>
      </c>
      <c r="E46" s="42"/>
      <c r="F46" s="42"/>
      <c r="G46" s="43" t="str">
        <f>"(Ln "&amp;B45&amp;" / 12)"</f>
        <v>(Ln 14 / 12)</v>
      </c>
      <c r="H46" s="42"/>
      <c r="I46" s="69">
        <f>ROUND(+I$45/12,4)</f>
        <v>4225.7974000000004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A47" s="36"/>
      <c r="B47" s="41">
        <f t="shared" si="0"/>
        <v>16</v>
      </c>
      <c r="C47" s="38"/>
      <c r="D47" s="35" t="str">
        <f>"Weekly Point-to-Point Rate in $/MW - Weekly"</f>
        <v>Weekly Point-to-Point Rate in $/MW - Weekly</v>
      </c>
      <c r="E47" s="38"/>
      <c r="F47" s="38"/>
      <c r="G47" s="43" t="str">
        <f>"(Ln "&amp;B45&amp;" / 52)"</f>
        <v>(Ln 14 / 52)</v>
      </c>
      <c r="H47" s="38"/>
      <c r="I47" s="69">
        <f>ROUND(+I45/52,4)</f>
        <v>975.18399999999997</v>
      </c>
      <c r="J47" s="38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17</v>
      </c>
      <c r="C48" s="38"/>
      <c r="D48" s="35" t="str">
        <f>"Daily On-Peak Point-to-Point Rate in $/MW - Day"</f>
        <v>Daily On-Peak Point-to-Point Rate in $/MW - Day</v>
      </c>
      <c r="E48" s="42"/>
      <c r="F48" s="42"/>
      <c r="G48" s="43" t="str">
        <f>"(Ln "&amp;B45&amp;" / 260)"</f>
        <v>(Ln 14 / 260)</v>
      </c>
      <c r="H48" s="42"/>
      <c r="I48" s="69">
        <f>ROUND(+I45/260,4)</f>
        <v>195.0368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18</v>
      </c>
      <c r="C49" s="38"/>
      <c r="D49" s="35" t="str">
        <f>"Daily Off-Peak Point-to-Point Rate in $/MW - Day"</f>
        <v>Daily Off-Peak Point-to-Point Rate in $/MW - Day</v>
      </c>
      <c r="E49" s="42"/>
      <c r="F49" s="42"/>
      <c r="G49" s="43" t="str">
        <f>"(Ln "&amp;B45&amp;" / 365)"</f>
        <v>(Ln 14 / 365)</v>
      </c>
      <c r="H49" s="42"/>
      <c r="I49" s="69">
        <f>ROUND(+I45/365,4)</f>
        <v>138.93029999999999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B50" s="41">
        <f t="shared" si="0"/>
        <v>19</v>
      </c>
      <c r="C50" s="38"/>
      <c r="D50" s="35" t="str">
        <f>"Hourly On-Peak Point-to-Point Rate in $/MW - Hour"</f>
        <v>Hourly On-Peak Point-to-Point Rate in $/MW - Hour</v>
      </c>
      <c r="E50" s="42"/>
      <c r="F50" s="42"/>
      <c r="G50" s="43" t="str">
        <f>"(Ln "&amp;B45&amp;" / 4160)"</f>
        <v>(Ln 14 / 4160)</v>
      </c>
      <c r="H50" s="42"/>
      <c r="I50" s="69">
        <f>ROUND(+I45/4160,4)</f>
        <v>12.1898</v>
      </c>
      <c r="J50" s="42"/>
      <c r="K50"/>
      <c r="L50"/>
      <c r="M50"/>
      <c r="N50"/>
      <c r="O50" s="91"/>
      <c r="P50" s="92"/>
      <c r="Q50" s="93"/>
      <c r="R50" s="93"/>
      <c r="S50" s="93"/>
      <c r="T50" s="93"/>
      <c r="U50" s="93"/>
      <c r="V50" s="90"/>
    </row>
    <row r="51" spans="1:29">
      <c r="B51" s="41">
        <f t="shared" si="0"/>
        <v>20</v>
      </c>
      <c r="C51" s="38"/>
      <c r="D51" s="35" t="str">
        <f>"Hourly Off-Peak Point-to-Point Rate in $/MW - Hour"</f>
        <v>Hourly Off-Peak Point-to-Point Rate in $/MW - Hour</v>
      </c>
      <c r="E51" s="42"/>
      <c r="F51" s="42"/>
      <c r="G51" s="43" t="str">
        <f>"(Ln "&amp;B45&amp;" / 8760)"</f>
        <v>(Ln 14 / 8760)</v>
      </c>
      <c r="H51" s="42"/>
      <c r="I51" s="69">
        <f>ROUND(+I45/8760,4)</f>
        <v>5.7888000000000002</v>
      </c>
      <c r="J51" s="42"/>
      <c r="K51"/>
      <c r="L51"/>
      <c r="M51"/>
      <c r="N51"/>
      <c r="O51" s="91"/>
      <c r="P51" s="92"/>
      <c r="Q51" s="93"/>
      <c r="R51" s="93"/>
      <c r="S51" s="93"/>
      <c r="T51" s="93"/>
      <c r="U51" s="93"/>
      <c r="V51" s="90"/>
    </row>
    <row r="52" spans="1:29">
      <c r="G52" s="44"/>
      <c r="H52" s="4"/>
      <c r="J52" s="4"/>
      <c r="K52"/>
      <c r="L52"/>
      <c r="M52"/>
      <c r="N52"/>
      <c r="O52"/>
      <c r="P52"/>
      <c r="Q52"/>
      <c r="R52"/>
      <c r="S52"/>
      <c r="T52"/>
      <c r="U52"/>
      <c r="V52" s="91"/>
      <c r="W52" s="94"/>
      <c r="X52" s="95"/>
      <c r="Y52" s="95"/>
      <c r="Z52" s="95"/>
      <c r="AA52" s="95"/>
      <c r="AB52" s="95"/>
      <c r="AC52" s="90"/>
    </row>
    <row r="53" spans="1:29" ht="15.75">
      <c r="A53" s="12" t="s">
        <v>21</v>
      </c>
      <c r="B53" s="17" t="s">
        <v>33</v>
      </c>
      <c r="C53" s="15"/>
      <c r="D53" s="6"/>
      <c r="E53" s="15"/>
      <c r="F53" s="6"/>
      <c r="G53" s="8"/>
      <c r="H53" s="6"/>
      <c r="J53" s="6"/>
      <c r="L53" s="6"/>
      <c r="V53" s="90"/>
      <c r="W53" s="90"/>
      <c r="X53" s="90"/>
      <c r="Y53" s="90"/>
      <c r="Z53" s="90"/>
      <c r="AA53" s="90"/>
      <c r="AB53" s="90"/>
      <c r="AC53" s="90"/>
    </row>
    <row r="54" spans="1:29">
      <c r="B54" s="45">
        <f>+B51+1</f>
        <v>21</v>
      </c>
      <c r="C54" s="42"/>
      <c r="D54" s="42" t="str">
        <f>"RTEP UPGRADE ATRR W/O INCENTIVES"</f>
        <v>RTEP UPGRADE ATRR W/O INCENTIVES</v>
      </c>
      <c r="G54" s="21" t="str">
        <f>"(Ln "&amp;B24&amp;")"</f>
        <v>(Ln 7)</v>
      </c>
      <c r="H54" s="42"/>
      <c r="I54" s="46">
        <f>SUM(K54,M54,O54,Q54,S54,U54)</f>
        <v>41500451.910747655</v>
      </c>
      <c r="J54" s="42"/>
      <c r="K54" s="47">
        <f>K24</f>
        <v>26695952.20963683</v>
      </c>
      <c r="L54" s="42"/>
      <c r="M54" s="47">
        <f>M24</f>
        <v>5322411.259465049</v>
      </c>
      <c r="N54" s="40"/>
      <c r="O54" s="47">
        <f>O24</f>
        <v>0</v>
      </c>
      <c r="P54" s="40"/>
      <c r="Q54" s="47">
        <f>Q24</f>
        <v>0</v>
      </c>
      <c r="R54" s="40"/>
      <c r="S54" s="47">
        <f>S24</f>
        <v>9365691.4445850383</v>
      </c>
      <c r="T54" s="40"/>
      <c r="U54" s="47">
        <f>U24</f>
        <v>116396.99706073492</v>
      </c>
      <c r="Y54"/>
      <c r="AA54"/>
    </row>
    <row r="55" spans="1:29">
      <c r="B55" s="45">
        <f>+B54+1</f>
        <v>22</v>
      </c>
      <c r="C55" s="42"/>
      <c r="D55" s="1" t="s">
        <v>37</v>
      </c>
      <c r="G55" s="25" t="str">
        <f>"(Worksheet J)"</f>
        <v>(Worksheet J)</v>
      </c>
      <c r="H55" s="42"/>
      <c r="I55" s="46">
        <f>SUM(K55,M55,O55,Q55,S55,U55)</f>
        <v>0</v>
      </c>
      <c r="J55" s="42"/>
      <c r="K55" s="23">
        <v>0</v>
      </c>
      <c r="L55" s="42"/>
      <c r="M55" s="23">
        <v>0</v>
      </c>
      <c r="N55" s="40"/>
      <c r="O55" s="23">
        <v>0</v>
      </c>
      <c r="P55" s="40"/>
      <c r="Q55" s="23">
        <v>0</v>
      </c>
      <c r="R55" s="40"/>
      <c r="S55" s="23">
        <v>0</v>
      </c>
      <c r="T55" s="40"/>
      <c r="U55" s="23">
        <v>0</v>
      </c>
    </row>
    <row r="56" spans="1:29" ht="15.75" thickBot="1">
      <c r="B56" s="45">
        <f>+B55+1</f>
        <v>23</v>
      </c>
      <c r="C56" s="42"/>
      <c r="D56" s="1" t="s">
        <v>48</v>
      </c>
      <c r="G56" s="21" t="s">
        <v>54</v>
      </c>
      <c r="H56" s="42"/>
      <c r="I56" s="46">
        <f>SUM(K56,M56,O56,Q56,S56,U56)</f>
        <v>6432945.2322595222</v>
      </c>
      <c r="J56" s="38"/>
      <c r="K56" s="99">
        <v>5263826.6888761492</v>
      </c>
      <c r="L56" s="109"/>
      <c r="M56" s="100">
        <v>470168.42289474542</v>
      </c>
      <c r="N56" s="46"/>
      <c r="O56" s="100">
        <v>0</v>
      </c>
      <c r="P56" s="46"/>
      <c r="Q56" s="100">
        <v>0</v>
      </c>
      <c r="R56" s="46"/>
      <c r="S56" s="100">
        <v>697095.00260931067</v>
      </c>
      <c r="T56" s="46"/>
      <c r="U56" s="100">
        <v>1855.1178793171332</v>
      </c>
    </row>
    <row r="57" spans="1:29" ht="16.5" thickBot="1">
      <c r="B57" s="45">
        <f>+B56+1</f>
        <v>24</v>
      </c>
      <c r="C57" s="42"/>
      <c r="D57" s="67" t="s">
        <v>56</v>
      </c>
      <c r="E57" s="29"/>
      <c r="F57" s="29"/>
      <c r="G57" s="48"/>
      <c r="H57" s="48"/>
      <c r="I57" s="49">
        <f>+I54+I55+I56</f>
        <v>47933397.143007174</v>
      </c>
      <c r="J57" s="42"/>
      <c r="K57" s="50">
        <f>+K54+K55+K56</f>
        <v>31959778.898512978</v>
      </c>
      <c r="L57" s="42"/>
      <c r="M57" s="50">
        <f>+M54+M55+M56</f>
        <v>5792579.6823597942</v>
      </c>
      <c r="N57" s="40"/>
      <c r="O57" s="50">
        <f>+O54+O55+O56</f>
        <v>0</v>
      </c>
      <c r="P57" s="40"/>
      <c r="Q57" s="50">
        <f>+Q54+Q55+Q56</f>
        <v>0</v>
      </c>
      <c r="R57" s="40"/>
      <c r="S57" s="50">
        <f>+S54+S55+S56</f>
        <v>10062786.447194349</v>
      </c>
      <c r="T57" s="40"/>
      <c r="U57" s="50">
        <f>+U54+U55+U56</f>
        <v>118252.11494005205</v>
      </c>
    </row>
    <row r="58" spans="1:29">
      <c r="B58" s="51"/>
      <c r="C58" s="42"/>
      <c r="D58" s="42"/>
      <c r="E58" s="42"/>
      <c r="F58" s="42"/>
      <c r="G58" s="42"/>
      <c r="H58" s="42"/>
      <c r="I58" s="40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 t="s">
        <v>12</v>
      </c>
      <c r="E59" s="52" t="s">
        <v>12</v>
      </c>
      <c r="F59" s="42"/>
      <c r="G59" s="42"/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1"/>
      <c r="C60" s="42"/>
      <c r="D60" s="42" t="s">
        <v>52</v>
      </c>
      <c r="E60" s="52" t="s">
        <v>12</v>
      </c>
      <c r="F60" s="42"/>
      <c r="G60" s="42"/>
      <c r="H60" s="42"/>
      <c r="I60" s="53"/>
      <c r="J60" s="42"/>
      <c r="K60" s="42"/>
      <c r="L60" s="42"/>
      <c r="M60" s="42"/>
      <c r="N60" s="40"/>
      <c r="O60" s="42"/>
      <c r="P60" s="40"/>
      <c r="Q60" s="42"/>
      <c r="R60" s="40"/>
      <c r="S60" s="42"/>
      <c r="T60" s="40"/>
      <c r="U60" s="42"/>
    </row>
    <row r="61" spans="1:29">
      <c r="B61" s="51"/>
      <c r="C61" s="42"/>
      <c r="D61" s="42"/>
      <c r="E61" s="42"/>
      <c r="F61" s="42"/>
      <c r="G61" s="54" t="s">
        <v>12</v>
      </c>
      <c r="H61" s="42"/>
      <c r="I61" s="40"/>
      <c r="J61" s="42"/>
      <c r="K61" s="42"/>
      <c r="L61" s="42"/>
      <c r="M61" s="42"/>
      <c r="N61" s="40"/>
      <c r="O61" s="42"/>
      <c r="P61" s="40"/>
      <c r="Q61" s="42"/>
      <c r="R61" s="40"/>
      <c r="S61" s="42"/>
      <c r="T61" s="40"/>
      <c r="U61" s="42"/>
    </row>
    <row r="62" spans="1:29">
      <c r="B62" s="55"/>
      <c r="C62" s="56"/>
      <c r="D62" s="56"/>
      <c r="E62" s="56"/>
      <c r="F62" s="56"/>
      <c r="G62" s="56"/>
      <c r="H62" s="56"/>
      <c r="I62" s="40"/>
      <c r="J62" s="56"/>
      <c r="K62" s="56"/>
      <c r="L62" s="56"/>
      <c r="M62" s="56"/>
      <c r="N62" s="40"/>
      <c r="O62" s="56"/>
      <c r="P62" s="40"/>
      <c r="Q62" s="56"/>
      <c r="R62" s="40"/>
      <c r="S62" s="56"/>
      <c r="T62" s="40"/>
      <c r="U62" s="56"/>
    </row>
    <row r="63" spans="1:29">
      <c r="B63" s="55"/>
      <c r="C63" s="56"/>
      <c r="D63" s="56"/>
      <c r="E63" s="56"/>
      <c r="F63" s="56"/>
      <c r="G63" s="56"/>
      <c r="H63" s="56"/>
      <c r="I63" s="40"/>
      <c r="J63" s="56"/>
      <c r="K63" s="56"/>
      <c r="L63" s="56"/>
      <c r="M63" s="56"/>
      <c r="N63" s="40"/>
      <c r="O63" s="56"/>
      <c r="P63" s="40"/>
      <c r="Q63" s="56"/>
      <c r="R63" s="40"/>
      <c r="S63" s="56"/>
      <c r="T63" s="40"/>
      <c r="U63" s="56"/>
    </row>
    <row r="64" spans="1:29">
      <c r="B64" s="55"/>
      <c r="C64" s="56" t="s">
        <v>12</v>
      </c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5"/>
      <c r="C67" s="56"/>
      <c r="D67" s="56" t="s">
        <v>12</v>
      </c>
      <c r="E67" s="56"/>
      <c r="F67" s="56"/>
      <c r="G67" s="56"/>
      <c r="H67" s="56"/>
      <c r="I67" s="40"/>
      <c r="J67" s="56"/>
      <c r="K67" s="56"/>
      <c r="L67" s="56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5"/>
      <c r="C68" s="56"/>
      <c r="D68" s="56" t="s">
        <v>12</v>
      </c>
      <c r="E68" s="56"/>
      <c r="F68" s="56"/>
      <c r="G68" s="56"/>
      <c r="H68" s="56"/>
      <c r="I68" s="40"/>
      <c r="J68" s="56"/>
      <c r="K68" s="56"/>
      <c r="L68" s="56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 t="s">
        <v>60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2:21">
      <c r="B128" s="5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  <row r="985" spans="2:12">
      <c r="B985" s="58"/>
      <c r="C985" s="36"/>
      <c r="D985" s="36"/>
      <c r="E985" s="36"/>
      <c r="F985" s="36"/>
      <c r="G985" s="36"/>
      <c r="H985" s="36"/>
      <c r="J985" s="36"/>
      <c r="K985" s="36"/>
      <c r="L985" s="36"/>
    </row>
    <row r="986" spans="2:12">
      <c r="B986" s="58"/>
      <c r="C986" s="36"/>
      <c r="D986" s="36"/>
      <c r="E986" s="36"/>
      <c r="F986" s="36"/>
      <c r="G986" s="36"/>
      <c r="H986" s="36"/>
      <c r="J986" s="36"/>
      <c r="K986" s="36"/>
      <c r="L986" s="36"/>
    </row>
  </sheetData>
  <customSheetViews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7"/>
  <sheetViews>
    <sheetView zoomScale="75" zoomScaleNormal="75" workbookViewId="0">
      <selection activeCell="G15" sqref="G15"/>
    </sheetView>
  </sheetViews>
  <sheetFormatPr defaultColWidth="11.42578125" defaultRowHeight="15"/>
  <cols>
    <col min="1" max="1" width="4.85546875" style="1" customWidth="1"/>
    <col min="2" max="2" width="5.85546875" style="26" bestFit="1" customWidth="1"/>
    <col min="3" max="3" width="2" style="1" customWidth="1"/>
    <col min="4" max="4" width="71.140625" style="1" customWidth="1"/>
    <col min="5" max="5" width="23.140625" style="1" customWidth="1"/>
    <col min="6" max="6" width="2.5703125" style="1" customWidth="1"/>
    <col min="7" max="7" width="19.42578125" style="1" bestFit="1" customWidth="1"/>
    <col min="8" max="8" width="2.5703125" style="1" customWidth="1"/>
    <col min="9" max="9" width="17.85546875" style="1" customWidth="1"/>
    <col min="10" max="10" width="2.5703125" style="1" customWidth="1"/>
    <col min="11" max="11" width="17.85546875" style="1" customWidth="1"/>
    <col min="12" max="12" width="2.5703125" style="1" customWidth="1"/>
    <col min="13" max="13" width="17.85546875" style="1" customWidth="1"/>
    <col min="14" max="14" width="2.5703125" style="1" customWidth="1"/>
    <col min="15" max="15" width="17.85546875" style="1" customWidth="1"/>
    <col min="16" max="16" width="2.42578125" style="1" customWidth="1"/>
    <col min="17" max="17" width="17.85546875" style="1" customWidth="1"/>
    <col min="18" max="18" width="2.5703125" style="1" customWidth="1"/>
    <col min="19" max="19" width="17.85546875" style="1" customWidth="1"/>
    <col min="20" max="16384" width="11.42578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2022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5"/>
      <c r="U5" s="5"/>
    </row>
    <row r="6" spans="1:21">
      <c r="B6" s="7"/>
      <c r="C6" s="8"/>
      <c r="D6" s="6"/>
      <c r="H6" s="6"/>
      <c r="I6" s="9"/>
      <c r="J6" s="9"/>
    </row>
    <row r="7" spans="1:21" ht="15.75">
      <c r="A7" s="128" t="s">
        <v>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1" ht="15.75">
      <c r="A8" s="10"/>
      <c r="B8" s="7"/>
      <c r="C8" s="8"/>
      <c r="D8" s="6"/>
      <c r="H8" s="6"/>
      <c r="I8" s="6"/>
      <c r="J8" s="6"/>
    </row>
    <row r="9" spans="1:21" ht="15.75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 ht="15.75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.5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 ht="15.75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21972000</v>
      </c>
      <c r="H15" s="74"/>
      <c r="I15" s="34">
        <v>10331000</v>
      </c>
      <c r="J15" s="34"/>
      <c r="K15" s="34">
        <v>7152000</v>
      </c>
      <c r="L15" s="19"/>
      <c r="M15" s="34">
        <v>1957000</v>
      </c>
      <c r="N15" s="19"/>
      <c r="O15" s="34">
        <v>9000</v>
      </c>
      <c r="P15" s="19"/>
      <c r="Q15" s="34">
        <v>1156000</v>
      </c>
      <c r="R15" s="19"/>
      <c r="S15" s="34">
        <v>1367000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13512000</v>
      </c>
      <c r="H16" s="74"/>
      <c r="I16" s="34">
        <v>5889000</v>
      </c>
      <c r="J16" s="34"/>
      <c r="K16" s="34">
        <v>5159000</v>
      </c>
      <c r="L16" s="19"/>
      <c r="M16" s="34">
        <v>1145000</v>
      </c>
      <c r="N16" s="19"/>
      <c r="O16" s="34">
        <v>0</v>
      </c>
      <c r="P16" s="19"/>
      <c r="Q16" s="34">
        <v>298000</v>
      </c>
      <c r="R16" s="19"/>
      <c r="S16" s="34">
        <v>1021000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3814000</v>
      </c>
      <c r="H17" s="74"/>
      <c r="I17" s="59">
        <v>1710000</v>
      </c>
      <c r="J17" s="34"/>
      <c r="K17" s="59">
        <v>1466000</v>
      </c>
      <c r="L17" s="19"/>
      <c r="M17" s="59">
        <v>344000</v>
      </c>
      <c r="N17" s="19"/>
      <c r="O17" s="59">
        <v>0</v>
      </c>
      <c r="P17" s="19"/>
      <c r="Q17" s="59">
        <v>0</v>
      </c>
      <c r="R17" s="19"/>
      <c r="S17" s="59">
        <v>294000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4646000</v>
      </c>
      <c r="H18" s="74"/>
      <c r="I18" s="34">
        <f>+I15-I16-I17</f>
        <v>2732000</v>
      </c>
      <c r="J18" s="34"/>
      <c r="K18" s="75">
        <f>+K15-K16-K17</f>
        <v>527000</v>
      </c>
      <c r="L18" s="19"/>
      <c r="M18" s="34">
        <f>+M15-M16-M17</f>
        <v>468000</v>
      </c>
      <c r="N18" s="19"/>
      <c r="O18" s="34">
        <f>+O15-O16-O17</f>
        <v>9000</v>
      </c>
      <c r="P18" s="19"/>
      <c r="Q18" s="75">
        <f>+Q15-Q16-Q17</f>
        <v>858000</v>
      </c>
      <c r="R18" s="19"/>
      <c r="S18" s="34">
        <f>+S15-S16-S17</f>
        <v>52000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520910.52686400001</v>
      </c>
      <c r="H20" s="72"/>
      <c r="I20" s="122">
        <v>306312.43206897291</v>
      </c>
      <c r="J20" s="78"/>
      <c r="K20" s="122">
        <v>59087.354209498066</v>
      </c>
      <c r="L20" s="71"/>
      <c r="M20" s="122">
        <v>52472.261423235468</v>
      </c>
      <c r="N20" s="71"/>
      <c r="O20" s="122">
        <v>1009.081950446836</v>
      </c>
      <c r="P20" s="71"/>
      <c r="Q20" s="122">
        <v>96199.145942598363</v>
      </c>
      <c r="R20" s="71"/>
      <c r="S20" s="122">
        <v>5830.2512692483861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4125089.4731360003</v>
      </c>
      <c r="H22" s="22"/>
      <c r="I22" s="70">
        <f>I18-I20</f>
        <v>2425687.5679310272</v>
      </c>
      <c r="J22" s="77"/>
      <c r="K22" s="82">
        <f>K18-K20</f>
        <v>467912.64579050196</v>
      </c>
      <c r="L22" s="19"/>
      <c r="M22" s="70">
        <f>M18-M20</f>
        <v>415527.73857676453</v>
      </c>
      <c r="N22" s="19"/>
      <c r="O22" s="70">
        <f>O18-O20</f>
        <v>7990.9180495531637</v>
      </c>
      <c r="P22" s="19"/>
      <c r="Q22" s="82">
        <f>Q18-Q20</f>
        <v>761800.85405740165</v>
      </c>
      <c r="R22" s="19"/>
      <c r="S22" s="70">
        <f>S18-S20</f>
        <v>46169.748730751613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(2021) ACTUAL ARR</v>
      </c>
      <c r="E24" s="25" t="str">
        <f>"Input from "&amp;T1-1&amp;" True-up"</f>
        <v>Input from 2021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(2021)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-11355629.055429056</v>
      </c>
      <c r="H26" s="22"/>
      <c r="I26" s="82">
        <v>-2766466.4017384574</v>
      </c>
      <c r="J26" s="77"/>
      <c r="K26" s="82">
        <v>-1362042.6930804159</v>
      </c>
      <c r="L26" s="19"/>
      <c r="M26" s="82">
        <v>-762288.71271823056</v>
      </c>
      <c r="N26" s="19"/>
      <c r="O26" s="82">
        <v>-43982.171867305857</v>
      </c>
      <c r="P26" s="19"/>
      <c r="Q26" s="82">
        <v>-6142113.5203050198</v>
      </c>
      <c r="R26" s="19"/>
      <c r="S26" s="82">
        <v>-278735.55571962771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5.75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5.75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-7230539.5822930578</v>
      </c>
      <c r="H30" s="74"/>
      <c r="I30" s="33">
        <f>+I22+I26+I28</f>
        <v>-340778.83380743023</v>
      </c>
      <c r="J30" s="34"/>
      <c r="K30" s="73">
        <f>+K22+K26+K28</f>
        <v>-894130.04728991399</v>
      </c>
      <c r="L30" s="19"/>
      <c r="M30" s="33">
        <f>+M22+M26+M28</f>
        <v>-346760.97414146602</v>
      </c>
      <c r="N30" s="19"/>
      <c r="O30" s="33">
        <f>+O22+O26+O28</f>
        <v>-35991.253817752695</v>
      </c>
      <c r="P30" s="19"/>
      <c r="Q30" s="73">
        <f>+Q22+Q26+Q28</f>
        <v>-5380312.6662476184</v>
      </c>
      <c r="R30" s="19"/>
      <c r="S30" s="33">
        <f>+S22+S26+S28</f>
        <v>-232565.80698887608</v>
      </c>
    </row>
    <row r="31" spans="1:19">
      <c r="B31" s="7"/>
      <c r="C31" s="8"/>
      <c r="D31" s="18"/>
      <c r="E31" s="6"/>
      <c r="F31" s="21"/>
    </row>
    <row r="32" spans="1:19" ht="15.75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2022 AEP East Zone Annual MWh</v>
      </c>
      <c r="E33" s="8"/>
      <c r="F33" s="21"/>
      <c r="G33" s="123">
        <v>128406000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-5.6309982261678257E-2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94AB120-BE64-4E16-910E-2D6CC4A4B7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2019-10-31T17:38:08Z</cp:lastPrinted>
  <dcterms:created xsi:type="dcterms:W3CDTF">2008-07-20T22:34:28Z</dcterms:created>
  <dcterms:modified xsi:type="dcterms:W3CDTF">2021-11-01T14:09:46Z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982ffd5b-41a9-4cd1-99dd-10920be8d656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